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N53" i="10"/>
  <c r="AB53" i="10"/>
  <c r="X53" i="10"/>
  <c r="T53" i="10"/>
  <c r="AN52" i="10"/>
  <c r="AB52" i="10"/>
  <c r="X52" i="10"/>
  <c r="T52" i="10"/>
  <c r="P52" i="10"/>
  <c r="AN51" i="10"/>
  <c r="AB51" i="10"/>
  <c r="X51" i="10"/>
  <c r="T51" i="10"/>
  <c r="AN48" i="10"/>
  <c r="AB48" i="10"/>
  <c r="X48" i="10"/>
  <c r="T48" i="10"/>
  <c r="AN47" i="10"/>
  <c r="AB47" i="10"/>
  <c r="X47" i="10"/>
  <c r="T47" i="10"/>
  <c r="AN46" i="10"/>
  <c r="AM46" i="10"/>
  <c r="AL46" i="10"/>
  <c r="AK46" i="10"/>
  <c r="AB46" i="10"/>
  <c r="AA46" i="10"/>
  <c r="Z46" i="10"/>
  <c r="Y46" i="10"/>
  <c r="X46" i="10"/>
  <c r="W46" i="10"/>
  <c r="V46" i="10"/>
  <c r="U46" i="10"/>
  <c r="T46" i="10"/>
  <c r="S46" i="10"/>
  <c r="R46" i="10"/>
  <c r="Q46" i="10"/>
  <c r="O45" i="10"/>
  <c r="N45" i="10"/>
  <c r="P39" i="10" s="1"/>
  <c r="M45" i="10"/>
  <c r="AN42" i="10"/>
  <c r="AB42" i="10"/>
  <c r="X42" i="10"/>
  <c r="T42" i="10"/>
  <c r="AN41" i="10"/>
  <c r="AB41" i="10"/>
  <c r="X41" i="10"/>
  <c r="T41" i="10"/>
  <c r="P41" i="10"/>
  <c r="K41" i="10"/>
  <c r="F41" i="10"/>
  <c r="AN39" i="10"/>
  <c r="AB39" i="10"/>
  <c r="AN38" i="10"/>
  <c r="AM38" i="10"/>
  <c r="AB38" i="10"/>
  <c r="AA38" i="10"/>
  <c r="X38" i="10"/>
  <c r="W38" i="10"/>
  <c r="T38" i="10"/>
  <c r="S38" i="10"/>
  <c r="P38" i="10"/>
  <c r="O38" i="10"/>
  <c r="L32" i="10"/>
  <c r="L27" i="10"/>
  <c r="L24" i="10"/>
  <c r="L23" i="10"/>
  <c r="L20" i="10"/>
  <c r="L19" i="10"/>
  <c r="L22" i="10" s="1"/>
  <c r="L30" i="10" s="1"/>
  <c r="L31" i="10" s="1"/>
  <c r="AN17" i="10"/>
  <c r="AM17" i="10"/>
  <c r="AL17" i="10"/>
  <c r="AK17" i="10"/>
  <c r="AB17" i="10"/>
  <c r="AA17" i="10"/>
  <c r="Z17" i="10"/>
  <c r="Y17" i="10"/>
  <c r="X17" i="10"/>
  <c r="W17" i="10"/>
  <c r="V17" i="10"/>
  <c r="U17" i="10"/>
  <c r="T17" i="10"/>
  <c r="S17" i="10"/>
  <c r="R17" i="10"/>
  <c r="Q17" i="10"/>
  <c r="P17" i="10"/>
  <c r="O17" i="10"/>
  <c r="N17" i="10"/>
  <c r="M17" i="10"/>
  <c r="P12" i="10" s="1"/>
  <c r="P45" i="10" s="1"/>
  <c r="AN16" i="10"/>
  <c r="AM16" i="10"/>
  <c r="AB16" i="10"/>
  <c r="AA16" i="10"/>
  <c r="X16" i="10"/>
  <c r="W16" i="10"/>
  <c r="V13" i="10" s="1"/>
  <c r="T16" i="10"/>
  <c r="S16" i="10"/>
  <c r="P16" i="10"/>
  <c r="O16" i="10"/>
  <c r="L16" i="10"/>
  <c r="K16" i="10"/>
  <c r="J16" i="10"/>
  <c r="G16" i="10"/>
  <c r="F16" i="10"/>
  <c r="E16" i="10"/>
  <c r="AN15" i="10"/>
  <c r="AM15" i="10"/>
  <c r="AB15" i="10"/>
  <c r="AA15" i="10"/>
  <c r="X15" i="10"/>
  <c r="W15" i="10"/>
  <c r="T15" i="10"/>
  <c r="S15" i="10"/>
  <c r="P15" i="10"/>
  <c r="O15" i="10"/>
  <c r="L15" i="10"/>
  <c r="AN13" i="10"/>
  <c r="AM13" i="10"/>
  <c r="AL13" i="10"/>
  <c r="AK13" i="10"/>
  <c r="AA13" i="10"/>
  <c r="Z13" i="10"/>
  <c r="Y13" i="10"/>
  <c r="W13" i="10"/>
  <c r="Q13" i="10"/>
  <c r="O12" i="10"/>
  <c r="N12" i="10"/>
  <c r="M12" i="10"/>
  <c r="K11" i="10"/>
  <c r="J11" i="10"/>
  <c r="F11" i="10"/>
  <c r="E11" i="10"/>
  <c r="L10" i="10"/>
  <c r="K10" i="10"/>
  <c r="J10" i="10"/>
  <c r="G10" i="10"/>
  <c r="F10" i="10"/>
  <c r="E10" i="10"/>
  <c r="G9" i="10"/>
  <c r="F9" i="10"/>
  <c r="E9" i="10"/>
  <c r="G8" i="10"/>
  <c r="F8" i="10"/>
  <c r="E8" i="10"/>
  <c r="AN7" i="10"/>
  <c r="AM7" i="10"/>
  <c r="AB7" i="10"/>
  <c r="AA7" i="10"/>
  <c r="X7" i="10"/>
  <c r="W7" i="10"/>
  <c r="T7" i="10"/>
  <c r="S7" i="10"/>
  <c r="P7" i="10"/>
  <c r="O7" i="10"/>
  <c r="L7" i="10"/>
  <c r="AN6" i="10"/>
  <c r="AM6" i="10"/>
  <c r="AB6" i="10"/>
  <c r="AA6" i="10"/>
  <c r="X6" i="10"/>
  <c r="W6" i="10"/>
  <c r="T6" i="10"/>
  <c r="S6" i="10"/>
  <c r="P6" i="10"/>
  <c r="O6" i="10"/>
  <c r="L6" i="10"/>
  <c r="K6" i="10"/>
  <c r="J6" i="10"/>
  <c r="G6" i="10"/>
  <c r="F6" i="10"/>
  <c r="E6" i="10"/>
  <c r="AU55" i="18"/>
  <c r="AT55" i="18"/>
  <c r="AT22" i="4" s="1"/>
  <c r="AS55" i="18"/>
  <c r="AR55" i="18"/>
  <c r="AR22" i="4" s="1"/>
  <c r="AQ55" i="18"/>
  <c r="AQ22" i="4" s="1"/>
  <c r="AP55" i="18"/>
  <c r="AO55" i="18"/>
  <c r="AN55" i="18"/>
  <c r="AC55" i="18"/>
  <c r="AB55" i="18"/>
  <c r="AB22" i="4" s="1"/>
  <c r="AA55" i="18"/>
  <c r="Z55" i="18"/>
  <c r="Z22" i="4" s="1"/>
  <c r="Y55" i="18"/>
  <c r="X55" i="18"/>
  <c r="X22" i="4" s="1"/>
  <c r="W55" i="18"/>
  <c r="W22" i="4" s="1"/>
  <c r="V55" i="18"/>
  <c r="V22" i="4" s="1"/>
  <c r="U55" i="18"/>
  <c r="U22" i="4" s="1"/>
  <c r="T55" i="18"/>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R54" i="18"/>
  <c r="AR12" i="4" s="1"/>
  <c r="AQ54" i="18"/>
  <c r="AQ12" i="4" s="1"/>
  <c r="AP54" i="18"/>
  <c r="AO54" i="18"/>
  <c r="AO12" i="4" s="1"/>
  <c r="AN54" i="18"/>
  <c r="AN12" i="4" s="1"/>
  <c r="AC54" i="18"/>
  <c r="AC12" i="4" s="1"/>
  <c r="AB54" i="18"/>
  <c r="AB12" i="4" s="1"/>
  <c r="AA54" i="18"/>
  <c r="AA12" i="4" s="1"/>
  <c r="Z54" i="18"/>
  <c r="Y54" i="18"/>
  <c r="X54" i="18"/>
  <c r="X12" i="4" s="1"/>
  <c r="W54" i="18"/>
  <c r="W12" i="4" s="1"/>
  <c r="V54" i="18"/>
  <c r="V12" i="4" s="1"/>
  <c r="U54" i="18"/>
  <c r="U12" i="4" s="1"/>
  <c r="T54" i="18"/>
  <c r="S54" i="18"/>
  <c r="R54" i="18"/>
  <c r="Q54" i="18"/>
  <c r="Q12" i="4" s="1"/>
  <c r="P54" i="18"/>
  <c r="O54" i="18"/>
  <c r="O12" i="4" s="1"/>
  <c r="N54" i="18"/>
  <c r="N12" i="4" s="1"/>
  <c r="M54" i="18"/>
  <c r="M12" i="4" s="1"/>
  <c r="L54" i="18"/>
  <c r="K54" i="18"/>
  <c r="J54" i="18"/>
  <c r="I54" i="18"/>
  <c r="I12" i="4" s="1"/>
  <c r="H54" i="18"/>
  <c r="H12" i="4" s="1"/>
  <c r="G54" i="18"/>
  <c r="G12" i="4" s="1"/>
  <c r="F54" i="18"/>
  <c r="F12" i="4" s="1"/>
  <c r="E54" i="18"/>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AP22" i="4"/>
  <c r="AO22" i="4"/>
  <c r="AN22" i="4"/>
  <c r="AC22" i="4"/>
  <c r="AA22" i="4"/>
  <c r="Y22" i="4"/>
  <c r="T22" i="4"/>
  <c r="AP12" i="4"/>
  <c r="Z12" i="4"/>
  <c r="Y12" i="4"/>
  <c r="T12" i="4"/>
  <c r="S12" i="4"/>
  <c r="R12" i="4"/>
  <c r="P12" i="4"/>
  <c r="L12" i="4"/>
  <c r="K12" i="4"/>
  <c r="J12" i="4"/>
  <c r="E12" i="4"/>
  <c r="AU5" i="4"/>
  <c r="AT5" i="4"/>
  <c r="AS5" i="4"/>
  <c r="AR5" i="4"/>
  <c r="AQ5" i="4"/>
  <c r="AP5" i="4"/>
  <c r="AO5" i="4"/>
  <c r="AN5" i="4"/>
  <c r="AC5" i="4"/>
  <c r="AB5" i="4"/>
  <c r="AA5" i="4"/>
  <c r="Z5" i="4"/>
  <c r="Y5" i="4"/>
  <c r="X5" i="4"/>
  <c r="W5" i="4"/>
  <c r="V5" i="4"/>
  <c r="U5" i="4"/>
  <c r="T5" i="4"/>
  <c r="S5" i="4"/>
  <c r="R5" i="4"/>
  <c r="Q5" i="4"/>
  <c r="P5" i="4"/>
  <c r="O5" i="4"/>
  <c r="N5" i="4"/>
  <c r="M5" i="4"/>
  <c r="L5" i="4"/>
  <c r="K5" i="4"/>
  <c r="J7" i="10" s="1"/>
  <c r="J5" i="4"/>
  <c r="I5" i="4"/>
  <c r="G15" i="10" s="1"/>
  <c r="H5" i="4"/>
  <c r="G5" i="4"/>
  <c r="E15" i="10" s="1"/>
  <c r="F5" i="4"/>
  <c r="E5" i="4"/>
  <c r="E7" i="10" s="1"/>
  <c r="D5" i="4"/>
  <c r="K7" i="10" l="1"/>
  <c r="F15" i="10"/>
  <c r="F7" i="10"/>
  <c r="E17" i="10" s="1"/>
  <c r="E38" i="10"/>
  <c r="C17" i="10"/>
  <c r="C45" i="10" s="1"/>
  <c r="G24" i="10"/>
  <c r="G7" i="10"/>
  <c r="J15" i="10"/>
  <c r="D12" i="10"/>
  <c r="X39" i="10"/>
  <c r="T39" i="10"/>
  <c r="P42" i="10"/>
  <c r="P47" i="10" s="1"/>
  <c r="P48" i="10" s="1"/>
  <c r="P51" i="10" s="1"/>
  <c r="P53" i="10" s="1"/>
  <c r="E11" i="16" s="1"/>
  <c r="L29" i="10"/>
  <c r="L33" i="10" s="1"/>
  <c r="L34" i="10" s="1"/>
  <c r="L21" i="10"/>
  <c r="L26" i="10" s="1"/>
  <c r="L25" i="10" s="1"/>
  <c r="L28" i="10" s="1"/>
  <c r="AB13" i="10"/>
  <c r="T13" i="10"/>
  <c r="X13" i="10"/>
  <c r="U13" i="10"/>
  <c r="R13" i="10"/>
  <c r="S13" i="10"/>
  <c r="E12" i="10"/>
  <c r="C12" i="10"/>
  <c r="J17" i="10" l="1"/>
  <c r="K15" i="10"/>
  <c r="K17" i="10" s="1"/>
  <c r="G20" i="10"/>
  <c r="G19" i="10"/>
  <c r="G22" i="10" s="1"/>
  <c r="G32" i="10"/>
  <c r="H17" i="10"/>
  <c r="H45" i="10" s="1"/>
  <c r="F38" i="10"/>
  <c r="E45" i="10"/>
  <c r="F17" i="10"/>
  <c r="J38" i="10"/>
  <c r="I17" i="10"/>
  <c r="I45" i="10" s="1"/>
  <c r="H12" i="10"/>
  <c r="K12" i="10" s="1"/>
  <c r="G23" i="10"/>
  <c r="J12" i="10"/>
  <c r="I12" i="10"/>
  <c r="G27" i="10"/>
  <c r="D17" i="10"/>
  <c r="D45" i="10" s="1"/>
  <c r="G30" i="10" l="1"/>
  <c r="G31" i="10" s="1"/>
  <c r="G29" i="10" s="1"/>
  <c r="G33" i="10" s="1"/>
  <c r="G34" i="10" s="1"/>
  <c r="G21" i="10"/>
  <c r="G26" i="10" s="1"/>
  <c r="G25" i="10" s="1"/>
  <c r="G28" i="10" s="1"/>
  <c r="F12" i="10"/>
  <c r="F45" i="10"/>
  <c r="F52" i="10"/>
  <c r="F39" i="10"/>
  <c r="F42" i="10" s="1"/>
  <c r="J45" i="10"/>
  <c r="K38" i="10"/>
  <c r="F47" i="10" l="1"/>
  <c r="F48" i="10" s="1"/>
  <c r="F51" i="10" s="1"/>
  <c r="F53" i="10" s="1"/>
  <c r="C11" i="16" s="1"/>
  <c r="K52" i="10"/>
  <c r="K53" i="10"/>
  <c r="D11" i="16" s="1"/>
  <c r="K45" i="10"/>
  <c r="K42" i="10"/>
  <c r="K39" i="10"/>
  <c r="K48" i="10" l="1"/>
  <c r="K51" i="10" s="1"/>
  <c r="K47" i="10"/>
</calcChain>
</file>

<file path=xl/sharedStrings.xml><?xml version="1.0" encoding="utf-8"?>
<sst xmlns="http://schemas.openxmlformats.org/spreadsheetml/2006/main" count="629" uniqueCount="530">
  <si>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</si>
  <si>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</si>
  <si>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</si>
  <si>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</si>
  <si>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</si>
  <si>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</si>
  <si>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</si>
  <si>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</si>
  <si>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</si>
  <si>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</si>
  <si>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</si>
  <si>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</si>
  <si>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</si>
  <si>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</si>
  <si>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</si>
  <si>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</si>
  <si>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</si>
  <si>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</si>
  <si>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</si>
  <si>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</si>
  <si>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</si>
  <si>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</si>
  <si>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</si>
  <si>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</si>
  <si>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</si>
  <si>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</si>
  <si>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</si>
  <si>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</si>
  <si>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</si>
  <si>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</si>
  <si>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</si>
  <si>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</si>
  <si>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</si>
  <si>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</si>
  <si>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</si>
  <si>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</si>
  <si>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</si>
  <si>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</si>
  <si>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</si>
  <si>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</si>
  <si>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</si>
  <si>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</si>
  <si>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</si>
  <si>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</si>
  <si>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</si>
  <si>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</si>
  <si>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</si>
  <si>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</si>
  <si>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</si>
  <si>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</si>
  <si>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</si>
  <si>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</si>
  <si>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</si>
  <si>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</si>
  <si>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</si>
  <si>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</si>
  <si>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</si>
  <si>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</si>
  <si>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</si>
  <si>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</si>
  <si>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</si>
  <si>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</si>
  <si>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</si>
  <si>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</si>
  <si>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</si>
  <si>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</si>
  <si>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</si>
  <si>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</si>
  <si>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</si>
  <si>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</si>
  <si>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</si>
  <si>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</si>
  <si>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</si>
  <si>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</si>
  <si>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</si>
  <si>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</si>
  <si>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</si>
  <si>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</si>
  <si>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</si>
  <si>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</si>
  <si>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</si>
  <si>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</si>
  <si>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</si>
  <si>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</si>
  <si>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</si>
  <si>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</si>
  <si>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</si>
  <si>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</si>
  <si>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</si>
  <si>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</si>
  <si>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</si>
  <si>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</si>
  <si>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</si>
  <si>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</si>
  <si>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</si>
  <si>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</si>
  <si>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</si>
  <si>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</si>
  <si>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</si>
  <si>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</si>
  <si>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</si>
  <si>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</si>
  <si>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</si>
  <si>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</si>
  <si>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</si>
  <si>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</si>
  <si>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</si>
  <si>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</si>
  <si>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</si>
  <si>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</si>
  <si>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</si>
  <si>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</si>
  <si>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</si>
  <si>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</si>
  <si>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</si>
  <si>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</si>
  <si>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</si>
  <si>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</si>
  <si>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</si>
  <si>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</si>
  <si>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</si>
  <si>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</si>
  <si>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</si>
  <si>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</si>
  <si>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</si>
  <si>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</si>
  <si>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</si>
  <si>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</si>
  <si>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</si>
  <si>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</si>
  <si>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</si>
  <si>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</si>
  <si>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</si>
  <si>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</si>
  <si>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</si>
  <si>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</si>
  <si>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</si>
  <si>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</si>
  <si>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</si>
  <si>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</si>
  <si>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</si>
  <si>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</si>
  <si>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</si>
  <si>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</si>
  <si>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</si>
  <si>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</si>
  <si>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</si>
  <si>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</si>
  <si>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</si>
  <si>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</si>
  <si>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</si>
  <si>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</si>
  <si>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</si>
  <si>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</si>
  <si>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</si>
  <si>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</si>
  <si>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</si>
  <si>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</si>
  <si>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</si>
  <si>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</si>
  <si>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</si>
  <si>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</si>
  <si>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</si>
  <si>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</si>
  <si>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</si>
  <si>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</si>
  <si>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</si>
  <si>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</si>
  <si>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</si>
  <si>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</si>
  <si>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</si>
  <si>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</si>
  <si>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</si>
  <si>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</si>
  <si>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</si>
  <si>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</si>
  <si>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</si>
  <si>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</si>
  <si>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</si>
  <si>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</si>
  <si>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</si>
  <si>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</si>
  <si>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</si>
  <si>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</si>
  <si>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</si>
  <si>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</si>
  <si>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</si>
  <si>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</si>
  <si>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</si>
  <si>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</si>
  <si>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</si>
  <si>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</si>
  <si>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</si>
  <si>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</si>
  <si>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</si>
  <si>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</si>
  <si>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</si>
  <si>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</si>
  <si>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</si>
  <si>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</si>
  <si>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</si>
  <si>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</si>
  <si>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</si>
  <si>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</si>
  <si>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</si>
  <si>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</si>
  <si>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</si>
  <si>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</si>
  <si>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</si>
  <si>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</si>
  <si>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</si>
  <si>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</si>
  <si>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</si>
  <si>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</si>
  <si>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</si>
  <si>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</si>
  <si>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</si>
  <si>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</si>
  <si>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</si>
  <si>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</si>
  <si>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</si>
  <si>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</si>
  <si>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</si>
  <si>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</si>
  <si>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</si>
  <si>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</si>
  <si>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</si>
  <si>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</si>
  <si>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</si>
  <si>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</si>
  <si>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</si>
  <si>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</si>
  <si>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</si>
  <si>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</si>
  <si>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</si>
  <si>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</si>
  <si>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</si>
  <si>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</si>
  <si>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</si>
  <si>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</si>
  <si>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</si>
  <si>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</si>
  <si>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</si>
  <si>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</si>
  <si>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</si>
  <si>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</si>
  <si>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</si>
  <si>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</si>
  <si>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</si>
  <si>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</si>
  <si>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</si>
  <si>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</si>
  <si>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</si>
  <si>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</si>
  <si>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</si>
  <si>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</si>
  <si>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</si>
  <si>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</si>
  <si>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</si>
  <si>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</si>
  <si>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</si>
  <si>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</si>
  <si>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</si>
  <si>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</si>
  <si>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</si>
  <si>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</si>
  <si>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</si>
  <si>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</si>
  <si>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</si>
  <si>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</si>
  <si>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</si>
  <si>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</si>
  <si>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</si>
  <si>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</si>
  <si>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</si>
  <si>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</si>
  <si>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</si>
  <si>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</si>
  <si>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</si>
  <si>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</si>
  <si>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</si>
  <si>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</si>
  <si>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</si>
  <si>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</si>
  <si>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</si>
  <si>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</si>
  <si>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</si>
  <si>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</si>
  <si>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</si>
  <si>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</si>
  <si>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</si>
  <si>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</si>
  <si>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</si>
  <si>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</si>
  <si>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</si>
  <si>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</si>
  <si>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</si>
  <si>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</si>
  <si>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</si>
  <si>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</si>
  <si>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</si>
  <si>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</si>
  <si>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</si>
  <si>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</si>
  <si>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</si>
  <si>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</si>
  <si>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</si>
  <si>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</si>
  <si>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</si>
  <si>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</si>
  <si>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</si>
  <si>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</si>
  <si>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</si>
  <si>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</si>
  <si>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</si>
  <si>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</si>
  <si>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</si>
  <si>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</si>
  <si>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</si>
  <si>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</si>
  <si>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</si>
  <si>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</si>
  <si>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</si>
  <si>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</si>
  <si>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</si>
  <si>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</si>
  <si>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</si>
  <si>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</si>
  <si>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</si>
  <si>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</si>
  <si>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</si>
  <si>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</si>
  <si>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</si>
  <si>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</si>
  <si>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</si>
  <si>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</si>
  <si>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</si>
  <si>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</si>
  <si>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</si>
  <si>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</si>
  <si>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</si>
  <si>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</si>
  <si>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</si>
  <si>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</si>
  <si>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</si>
  <si>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</si>
  <si>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</si>
  <si>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</si>
  <si>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</si>
  <si>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</si>
  <si>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</si>
  <si>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</si>
  <si>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</si>
  <si>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</si>
  <si>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</si>
  <si>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</si>
  <si>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</si>
  <si>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</si>
  <si>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</si>
  <si>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</si>
  <si>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</si>
  <si>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</si>
  <si>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</si>
  <si>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</si>
  <si>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</si>
  <si>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</si>
  <si>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</si>
  <si>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</si>
  <si>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</si>
  <si>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</si>
  <si>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</si>
  <si>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</si>
  <si>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</si>
  <si>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</si>
  <si>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</si>
  <si>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</si>
  <si>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</si>
  <si>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</si>
  <si>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</si>
  <si>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</si>
  <si>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</si>
  <si>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</si>
  <si>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</si>
  <si>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</si>
  <si>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</si>
  <si>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</si>
  <si>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</si>
  <si>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</si>
  <si>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</si>
  <si>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</si>
  <si>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</si>
  <si>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</si>
  <si>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</si>
  <si>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</si>
  <si>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</si>
  <si>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</si>
  <si>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</si>
  <si>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</si>
  <si>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</si>
  <si>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</si>
  <si>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</si>
  <si>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</si>
  <si>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</si>
  <si>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</si>
  <si>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</si>
  <si>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</si>
  <si>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</si>
  <si>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</si>
  <si>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</si>
  <si>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</si>
  <si>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</si>
  <si>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</si>
  <si>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</si>
  <si>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</si>
  <si>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</si>
  <si>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</si>
  <si>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</si>
  <si>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</si>
  <si>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</si>
  <si>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</si>
  <si>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</si>
  <si>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</si>
  <si>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</si>
  <si>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</si>
  <si>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</si>
  <si>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</si>
  <si>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</si>
  <si>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</si>
  <si>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</si>
  <si>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</si>
  <si>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</si>
  <si>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</si>
  <si>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</si>
  <si>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</si>
  <si>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</si>
  <si>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</si>
  <si>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</si>
  <si>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</si>
  <si>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</si>
  <si>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</si>
  <si>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</si>
  <si>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</si>
  <si>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</si>
  <si>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</si>
  <si>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</si>
  <si>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</si>
  <si>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</si>
  <si>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</si>
  <si>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</si>
  <si>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</si>
  <si>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</si>
  <si>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</si>
  <si>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</si>
  <si>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</si>
  <si>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</si>
  <si>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</si>
  <si>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</si>
  <si>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</si>
  <si>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</si>
  <si>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</si>
  <si>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</si>
  <si>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</si>
  <si>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</si>
  <si>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</si>
  <si>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</si>
  <si>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</si>
  <si>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</si>
  <si>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</si>
  <si>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</si>
  <si>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</si>
  <si>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</si>
  <si>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</si>
  <si>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</si>
  <si>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</si>
  <si>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</si>
  <si>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</si>
  <si>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</si>
  <si>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</si>
  <si>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</si>
  <si>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</si>
  <si>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</si>
  <si>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</si>
  <si>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</si>
  <si>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</si>
  <si>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</si>
  <si>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</si>
  <si>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</si>
  <si>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</si>
  <si>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</si>
  <si>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</si>
  <si>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</si>
  <si>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</si>
  <si>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</si>
  <si>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</si>
  <si>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</si>
  <si>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</si>
  <si>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Plans of Puerto Rico, Inc.</t>
  </si>
  <si>
    <t>HUMANA GRP</t>
  </si>
  <si>
    <t>Humana</t>
  </si>
  <si>
    <t>119</t>
  </si>
  <si>
    <t>2015</t>
  </si>
  <si>
    <t>383 FD Roosevelt Ave San Juan, PR 00918-2131</t>
  </si>
  <si>
    <t>660406896</t>
  </si>
  <si>
    <t>095721</t>
  </si>
  <si>
    <t>95721</t>
  </si>
  <si>
    <t>492</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</si>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</sst>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181</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1051124</v>
      </c>
      <c r="E5" s="213">
        <f>SUM('Pt 2 Premium and Claims'!E$5,'Pt 2 Premium and Claims'!E$6,-'Pt 2 Premium and Claims'!E$7,-'Pt 2 Premium and Claims'!E$13,'Pt 2 Premium and Claims'!E$14:'Pt 2 Premium and Claims'!E$17)</f>
        <v>992050.7</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28572632</v>
      </c>
      <c r="Q5" s="213">
        <f>SUM('Pt 2 Premium and Claims'!Q$5,'Pt 2 Premium and Claims'!Q$6,-'Pt 2 Premium and Claims'!Q$7,-'Pt 2 Premium and Claims'!Q$13,'Pt 2 Premium and Claims'!Q$14)</f>
        <v>28496704.629999999</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-3055069</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390625237</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-3193</v>
      </c>
      <c r="E8" s="268"/>
      <c r="F8" s="269"/>
      <c r="G8" s="269"/>
      <c r="H8" s="269"/>
      <c r="I8" s="272"/>
      <c r="J8" s="216">
        <v>0</v>
      </c>
      <c r="K8" s="268"/>
      <c r="L8" s="269"/>
      <c r="M8" s="269"/>
      <c r="N8" s="269"/>
      <c r="O8" s="272"/>
      <c r="P8" s="216">
        <v>-74658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2833871</v>
      </c>
      <c r="E12" s="213">
        <f>'Pt 2 Premium and Claims'!E$54</f>
        <v>2791821.8400000003</v>
      </c>
      <c r="F12" s="213">
        <f>'Pt 2 Premium and Claims'!F$54</f>
        <v>0</v>
      </c>
      <c r="G12" s="213">
        <f>'Pt 2 Premium and Claims'!G$54</f>
        <v>0</v>
      </c>
      <c r="H12" s="213">
        <f>'Pt 2 Premium and Claims'!H$54</f>
        <v>0</v>
      </c>
      <c r="I12" s="212">
        <f>'Pt 2 Premium and Claims'!I$54</f>
        <v>0</v>
      </c>
      <c r="J12" s="212">
        <f>'Pt 2 Premium and Claims'!J$54</f>
        <v>-1</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20738977</v>
      </c>
      <c r="Q12" s="213">
        <f>'Pt 2 Premium and Claims'!Q$54</f>
        <v>21133658.260000002</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-3888289</v>
      </c>
      <c r="AT12" s="214">
        <f>'Pt 2 Premium and Claims'!AT$54</f>
        <v>0</v>
      </c>
      <c r="AU12" s="214">
        <f>'Pt 2 Premium and Claims'!AU$54</f>
        <v>348054440</v>
      </c>
      <c r="AV12" s="291"/>
      <c r="AW12" s="296"/>
    </row>
    <row r="13" spans="1:49" ht="25.5" x14ac:dyDescent="0.2">
      <c r="B13" s="239" t="s">
        <v>230</v>
      </c>
      <c r="C13" s="203" t="s">
        <v>37</v>
      </c>
      <c r="D13" s="216">
        <v>335338</v>
      </c>
      <c r="E13" s="217">
        <v>337247.18</v>
      </c>
      <c r="F13" s="217"/>
      <c r="G13" s="268"/>
      <c r="H13" s="269"/>
      <c r="I13" s="216"/>
      <c r="J13" s="216">
        <v>0</v>
      </c>
      <c r="K13" s="217"/>
      <c r="L13" s="217"/>
      <c r="M13" s="268"/>
      <c r="N13" s="269"/>
      <c r="O13" s="216"/>
      <c r="P13" s="216">
        <v>7897409</v>
      </c>
      <c r="Q13" s="217">
        <v>8153237.54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91261891</v>
      </c>
      <c r="AV13" s="290"/>
      <c r="AW13" s="297"/>
    </row>
    <row r="14" spans="1:49" ht="25.5" x14ac:dyDescent="0.2">
      <c r="B14" s="239" t="s">
        <v>231</v>
      </c>
      <c r="C14" s="203" t="s">
        <v>6</v>
      </c>
      <c r="D14" s="216">
        <v>35312</v>
      </c>
      <c r="E14" s="217">
        <v>34001.61</v>
      </c>
      <c r="F14" s="217"/>
      <c r="G14" s="267"/>
      <c r="H14" s="270"/>
      <c r="I14" s="216"/>
      <c r="J14" s="216">
        <v>0</v>
      </c>
      <c r="K14" s="217"/>
      <c r="L14" s="217"/>
      <c r="M14" s="267"/>
      <c r="N14" s="270"/>
      <c r="O14" s="216"/>
      <c r="P14" s="216">
        <v>632907</v>
      </c>
      <c r="Q14" s="217">
        <v>637824.07999999996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14506045</v>
      </c>
      <c r="AV14" s="290"/>
      <c r="AW14" s="297"/>
    </row>
    <row r="15" spans="1:49" ht="38.25" x14ac:dyDescent="0.2">
      <c r="B15" s="239" t="s">
        <v>232</v>
      </c>
      <c r="C15" s="203" t="s">
        <v>7</v>
      </c>
      <c r="D15" s="216">
        <v>-8</v>
      </c>
      <c r="E15" s="217">
        <v>-8.1300000000000008</v>
      </c>
      <c r="F15" s="217"/>
      <c r="G15" s="267"/>
      <c r="H15" s="273"/>
      <c r="I15" s="216"/>
      <c r="J15" s="216">
        <v>0</v>
      </c>
      <c r="K15" s="217"/>
      <c r="L15" s="217"/>
      <c r="M15" s="267"/>
      <c r="N15" s="273"/>
      <c r="O15" s="216"/>
      <c r="P15" s="216">
        <v>-244</v>
      </c>
      <c r="Q15" s="217">
        <v>-243.59</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-3406</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205000</v>
      </c>
      <c r="E17" s="267"/>
      <c r="F17" s="270"/>
      <c r="G17" s="270"/>
      <c r="H17" s="270"/>
      <c r="I17" s="271"/>
      <c r="J17" s="216">
        <v>0</v>
      </c>
      <c r="K17" s="267"/>
      <c r="L17" s="270"/>
      <c r="M17" s="270"/>
      <c r="N17" s="270"/>
      <c r="O17" s="271"/>
      <c r="P17" s="216">
        <v>113445</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226617</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743462</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403401</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v>0.01</v>
      </c>
      <c r="F25" s="217"/>
      <c r="G25" s="217"/>
      <c r="H25" s="217"/>
      <c r="I25" s="216"/>
      <c r="J25" s="216"/>
      <c r="K25" s="217"/>
      <c r="L25" s="217"/>
      <c r="M25" s="217"/>
      <c r="N25" s="217"/>
      <c r="O25" s="216"/>
      <c r="P25" s="216"/>
      <c r="Q25" s="217">
        <v>0.01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1769.97</v>
      </c>
      <c r="E26" s="217">
        <v>1769.97</v>
      </c>
      <c r="F26" s="217"/>
      <c r="G26" s="217"/>
      <c r="H26" s="217"/>
      <c r="I26" s="216"/>
      <c r="J26" s="216"/>
      <c r="K26" s="217"/>
      <c r="L26" s="217"/>
      <c r="M26" s="217"/>
      <c r="N26" s="217"/>
      <c r="O26" s="216"/>
      <c r="P26" s="216">
        <v>23156.9</v>
      </c>
      <c r="Q26" s="217">
        <v>23156.9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16134.01</v>
      </c>
      <c r="E27" s="217">
        <v>16134.01</v>
      </c>
      <c r="F27" s="217"/>
      <c r="G27" s="217"/>
      <c r="H27" s="217"/>
      <c r="I27" s="216"/>
      <c r="J27" s="216"/>
      <c r="K27" s="217"/>
      <c r="L27" s="217"/>
      <c r="M27" s="217"/>
      <c r="N27" s="217"/>
      <c r="O27" s="216"/>
      <c r="P27" s="216">
        <v>478757.34</v>
      </c>
      <c r="Q27" s="217">
        <v>478757.34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-51303.03</v>
      </c>
      <c r="AT27" s="220">
        <v>0</v>
      </c>
      <c r="AU27" s="220">
        <v>6738190.1799999997</v>
      </c>
      <c r="AV27" s="293"/>
      <c r="AW27" s="297"/>
    </row>
    <row r="28" spans="1:49" s="5" customFormat="1" x14ac:dyDescent="0.2">
      <c r="A28" s="35"/>
      <c r="B28" s="242" t="s">
        <v>244</v>
      </c>
      <c r="C28" s="203"/>
      <c r="D28" s="216">
        <v>2450.75</v>
      </c>
      <c r="E28" s="217">
        <v>2450.75</v>
      </c>
      <c r="F28" s="217"/>
      <c r="G28" s="217"/>
      <c r="H28" s="217"/>
      <c r="I28" s="216"/>
      <c r="J28" s="216"/>
      <c r="K28" s="217"/>
      <c r="L28" s="217"/>
      <c r="M28" s="217"/>
      <c r="N28" s="217"/>
      <c r="O28" s="216"/>
      <c r="P28" s="216">
        <v>105015.05</v>
      </c>
      <c r="Q28" s="217">
        <v>105015.05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253.82</v>
      </c>
      <c r="AT28" s="220">
        <v>287.61</v>
      </c>
      <c r="AU28" s="220">
        <v>895654.51</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316.97000000000003</v>
      </c>
      <c r="E30" s="217">
        <v>316.97000000000003</v>
      </c>
      <c r="F30" s="217"/>
      <c r="G30" s="217"/>
      <c r="H30" s="217"/>
      <c r="I30" s="216"/>
      <c r="J30" s="216"/>
      <c r="K30" s="217"/>
      <c r="L30" s="217"/>
      <c r="M30" s="217"/>
      <c r="N30" s="217"/>
      <c r="O30" s="216"/>
      <c r="P30" s="216">
        <v>12845.22</v>
      </c>
      <c r="Q30" s="217">
        <v>12845.22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28.61</v>
      </c>
      <c r="AT30" s="220">
        <v>18.100000000000001</v>
      </c>
      <c r="AU30" s="220">
        <v>115417.23</v>
      </c>
      <c r="AV30" s="220"/>
      <c r="AW30" s="297"/>
    </row>
    <row r="31" spans="1:49" x14ac:dyDescent="0.2">
      <c r="B31" s="242" t="s">
        <v>247</v>
      </c>
      <c r="C31" s="203"/>
      <c r="D31" s="216">
        <v>8575.91</v>
      </c>
      <c r="E31" s="217">
        <v>8575.91</v>
      </c>
      <c r="F31" s="217"/>
      <c r="G31" s="217"/>
      <c r="H31" s="217"/>
      <c r="I31" s="216"/>
      <c r="J31" s="216"/>
      <c r="K31" s="217"/>
      <c r="L31" s="217"/>
      <c r="M31" s="217"/>
      <c r="N31" s="217"/>
      <c r="O31" s="216"/>
      <c r="P31" s="216">
        <v>236198.26</v>
      </c>
      <c r="Q31" s="217">
        <v>236198.26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1195.19</v>
      </c>
      <c r="E35" s="217">
        <v>1195.19</v>
      </c>
      <c r="F35" s="217"/>
      <c r="G35" s="217"/>
      <c r="H35" s="217"/>
      <c r="I35" s="216"/>
      <c r="J35" s="216"/>
      <c r="K35" s="217"/>
      <c r="L35" s="217"/>
      <c r="M35" s="217"/>
      <c r="N35" s="217"/>
      <c r="O35" s="216"/>
      <c r="P35" s="216">
        <v>31560.69</v>
      </c>
      <c r="Q35" s="217">
        <v>31560.69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77.2</v>
      </c>
      <c r="AT35" s="220">
        <v>72.739999999999995</v>
      </c>
      <c r="AU35" s="220">
        <v>273186.73</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5074</v>
      </c>
      <c r="E37" s="225">
        <v>5073.51</v>
      </c>
      <c r="F37" s="225"/>
      <c r="G37" s="225"/>
      <c r="H37" s="225"/>
      <c r="I37" s="224"/>
      <c r="J37" s="224">
        <v>0</v>
      </c>
      <c r="K37" s="225"/>
      <c r="L37" s="225"/>
      <c r="M37" s="225"/>
      <c r="N37" s="225"/>
      <c r="O37" s="224"/>
      <c r="P37" s="224">
        <v>169982</v>
      </c>
      <c r="Q37" s="225">
        <v>169982.25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-155</v>
      </c>
      <c r="AT37" s="226">
        <v>0</v>
      </c>
      <c r="AU37" s="226">
        <v>2560090</v>
      </c>
      <c r="AV37" s="226">
        <v>0</v>
      </c>
      <c r="AW37" s="296"/>
    </row>
    <row r="38" spans="1:49" x14ac:dyDescent="0.2">
      <c r="B38" s="239" t="s">
        <v>254</v>
      </c>
      <c r="C38" s="203" t="s">
        <v>16</v>
      </c>
      <c r="D38" s="216">
        <v>1691</v>
      </c>
      <c r="E38" s="217">
        <v>1691</v>
      </c>
      <c r="F38" s="217"/>
      <c r="G38" s="217"/>
      <c r="H38" s="217"/>
      <c r="I38" s="216"/>
      <c r="J38" s="216">
        <v>0</v>
      </c>
      <c r="K38" s="217"/>
      <c r="L38" s="217"/>
      <c r="M38" s="217"/>
      <c r="N38" s="217"/>
      <c r="O38" s="216"/>
      <c r="P38" s="216">
        <v>59289</v>
      </c>
      <c r="Q38" s="217">
        <v>59288.93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24</v>
      </c>
      <c r="AT38" s="220">
        <v>0</v>
      </c>
      <c r="AU38" s="220">
        <v>1159109</v>
      </c>
      <c r="AV38" s="220">
        <v>0</v>
      </c>
      <c r="AW38" s="297"/>
    </row>
    <row r="39" spans="1:49" x14ac:dyDescent="0.2">
      <c r="B39" s="242" t="s">
        <v>255</v>
      </c>
      <c r="C39" s="203" t="s">
        <v>17</v>
      </c>
      <c r="D39" s="216">
        <v>2446</v>
      </c>
      <c r="E39" s="217">
        <v>2446.31</v>
      </c>
      <c r="F39" s="217"/>
      <c r="G39" s="217"/>
      <c r="H39" s="217"/>
      <c r="I39" s="216"/>
      <c r="J39" s="216">
        <v>0</v>
      </c>
      <c r="K39" s="217"/>
      <c r="L39" s="217"/>
      <c r="M39" s="217"/>
      <c r="N39" s="217"/>
      <c r="O39" s="216"/>
      <c r="P39" s="216">
        <v>80278</v>
      </c>
      <c r="Q39" s="217">
        <v>80278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-8</v>
      </c>
      <c r="AT39" s="220">
        <v>0</v>
      </c>
      <c r="AU39" s="220">
        <v>1639576</v>
      </c>
      <c r="AV39" s="220">
        <v>0</v>
      </c>
      <c r="AW39" s="297"/>
    </row>
    <row r="40" spans="1:49" x14ac:dyDescent="0.2">
      <c r="B40" s="242" t="s">
        <v>256</v>
      </c>
      <c r="C40" s="203" t="s">
        <v>38</v>
      </c>
      <c r="D40" s="216">
        <v>2855</v>
      </c>
      <c r="E40" s="217">
        <v>2855.12</v>
      </c>
      <c r="F40" s="217"/>
      <c r="G40" s="217"/>
      <c r="H40" s="217"/>
      <c r="I40" s="216"/>
      <c r="J40" s="216">
        <v>0</v>
      </c>
      <c r="K40" s="217"/>
      <c r="L40" s="217"/>
      <c r="M40" s="217"/>
      <c r="N40" s="217"/>
      <c r="O40" s="216"/>
      <c r="P40" s="216">
        <v>97691</v>
      </c>
      <c r="Q40" s="217">
        <v>97691.28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-93</v>
      </c>
      <c r="AT40" s="220">
        <v>0</v>
      </c>
      <c r="AU40" s="220">
        <v>1749854</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527</v>
      </c>
      <c r="Q41" s="217">
        <v>527.32000000000005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2751</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4552</v>
      </c>
      <c r="E44" s="225">
        <v>4551.53</v>
      </c>
      <c r="F44" s="225"/>
      <c r="G44" s="225"/>
      <c r="H44" s="225"/>
      <c r="I44" s="224"/>
      <c r="J44" s="224">
        <v>0</v>
      </c>
      <c r="K44" s="225"/>
      <c r="L44" s="225"/>
      <c r="M44" s="225"/>
      <c r="N44" s="225"/>
      <c r="O44" s="224"/>
      <c r="P44" s="224">
        <v>147398</v>
      </c>
      <c r="Q44" s="225">
        <v>147398.34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-1316</v>
      </c>
      <c r="AT44" s="226">
        <v>165</v>
      </c>
      <c r="AU44" s="226">
        <v>2274142</v>
      </c>
      <c r="AV44" s="226">
        <v>0</v>
      </c>
      <c r="AW44" s="296"/>
    </row>
    <row r="45" spans="1:49" x14ac:dyDescent="0.2">
      <c r="B45" s="245" t="s">
        <v>261</v>
      </c>
      <c r="C45" s="203" t="s">
        <v>19</v>
      </c>
      <c r="D45" s="216">
        <v>5758</v>
      </c>
      <c r="E45" s="217">
        <v>5757.73</v>
      </c>
      <c r="F45" s="217"/>
      <c r="G45" s="217"/>
      <c r="H45" s="217"/>
      <c r="I45" s="216"/>
      <c r="J45" s="216">
        <v>0</v>
      </c>
      <c r="K45" s="217"/>
      <c r="L45" s="217"/>
      <c r="M45" s="217"/>
      <c r="N45" s="217"/>
      <c r="O45" s="216"/>
      <c r="P45" s="216">
        <v>85546</v>
      </c>
      <c r="Q45" s="217">
        <v>85545.63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-277</v>
      </c>
      <c r="AT45" s="220">
        <v>0</v>
      </c>
      <c r="AU45" s="220">
        <v>1467805</v>
      </c>
      <c r="AV45" s="220">
        <v>0</v>
      </c>
      <c r="AW45" s="297"/>
    </row>
    <row r="46" spans="1:49" x14ac:dyDescent="0.2">
      <c r="B46" s="245" t="s">
        <v>262</v>
      </c>
      <c r="C46" s="203" t="s">
        <v>20</v>
      </c>
      <c r="D46" s="216">
        <v>7628</v>
      </c>
      <c r="E46" s="217">
        <v>7628.26</v>
      </c>
      <c r="F46" s="217"/>
      <c r="G46" s="217"/>
      <c r="H46" s="217"/>
      <c r="I46" s="216"/>
      <c r="J46" s="216">
        <v>0</v>
      </c>
      <c r="K46" s="217"/>
      <c r="L46" s="217"/>
      <c r="M46" s="217"/>
      <c r="N46" s="217"/>
      <c r="O46" s="216"/>
      <c r="P46" s="216">
        <v>316843</v>
      </c>
      <c r="Q46" s="217">
        <v>316843.45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-28</v>
      </c>
      <c r="AT46" s="220">
        <v>4198</v>
      </c>
      <c r="AU46" s="220">
        <v>6897989</v>
      </c>
      <c r="AV46" s="220">
        <v>0</v>
      </c>
      <c r="AW46" s="297"/>
    </row>
    <row r="47" spans="1:49" x14ac:dyDescent="0.2">
      <c r="B47" s="245" t="s">
        <v>263</v>
      </c>
      <c r="C47" s="203" t="s">
        <v>21</v>
      </c>
      <c r="D47" s="216">
        <v>967</v>
      </c>
      <c r="E47" s="217">
        <v>966.78</v>
      </c>
      <c r="F47" s="217"/>
      <c r="G47" s="217"/>
      <c r="H47" s="217"/>
      <c r="I47" s="216"/>
      <c r="J47" s="216">
        <v>0</v>
      </c>
      <c r="K47" s="217"/>
      <c r="L47" s="217"/>
      <c r="M47" s="217"/>
      <c r="N47" s="217"/>
      <c r="O47" s="216"/>
      <c r="P47" s="216">
        <v>35825</v>
      </c>
      <c r="Q47" s="217">
        <v>35825.480000000003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95</v>
      </c>
      <c r="AT47" s="220">
        <v>99</v>
      </c>
      <c r="AU47" s="220">
        <v>889599</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4.0199999999999996</v>
      </c>
      <c r="E49" s="217">
        <v>4.0199999999999996</v>
      </c>
      <c r="F49" s="217"/>
      <c r="G49" s="217"/>
      <c r="H49" s="217"/>
      <c r="I49" s="216"/>
      <c r="J49" s="216"/>
      <c r="K49" s="217"/>
      <c r="L49" s="217"/>
      <c r="M49" s="217"/>
      <c r="N49" s="217"/>
      <c r="O49" s="216"/>
      <c r="P49" s="216">
        <v>160.56</v>
      </c>
      <c r="Q49" s="217">
        <v>160.56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-1.34</v>
      </c>
      <c r="AT49" s="220">
        <v>0.06</v>
      </c>
      <c r="AU49" s="220">
        <v>1601.45</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20195.86</v>
      </c>
      <c r="AV50" s="220"/>
      <c r="AW50" s="297"/>
    </row>
    <row r="51" spans="2:49" x14ac:dyDescent="0.2">
      <c r="B51" s="239" t="s">
        <v>266</v>
      </c>
      <c r="C51" s="203"/>
      <c r="D51" s="216">
        <v>65549</v>
      </c>
      <c r="E51" s="217">
        <v>65548.83</v>
      </c>
      <c r="F51" s="217"/>
      <c r="G51" s="217"/>
      <c r="H51" s="217"/>
      <c r="I51" s="216"/>
      <c r="J51" s="216">
        <v>0</v>
      </c>
      <c r="K51" s="217"/>
      <c r="L51" s="217"/>
      <c r="M51" s="217"/>
      <c r="N51" s="217"/>
      <c r="O51" s="216"/>
      <c r="P51" s="216">
        <v>2750863</v>
      </c>
      <c r="Q51" s="217">
        <v>2750862.69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12692</v>
      </c>
      <c r="AT51" s="220">
        <v>5450</v>
      </c>
      <c r="AU51" s="220">
        <v>20668598</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631</v>
      </c>
      <c r="E56" s="229">
        <v>631</v>
      </c>
      <c r="F56" s="229"/>
      <c r="G56" s="229"/>
      <c r="H56" s="229"/>
      <c r="I56" s="228"/>
      <c r="J56" s="228">
        <v>0</v>
      </c>
      <c r="K56" s="229"/>
      <c r="L56" s="229"/>
      <c r="M56" s="229"/>
      <c r="N56" s="229"/>
      <c r="O56" s="228"/>
      <c r="P56" s="228">
        <v>4258</v>
      </c>
      <c r="Q56" s="229">
        <v>4258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46802</v>
      </c>
      <c r="AV56" s="230">
        <v>0</v>
      </c>
      <c r="AW56" s="288"/>
    </row>
    <row r="57" spans="2:49" x14ac:dyDescent="0.2">
      <c r="B57" s="245" t="s">
        <v>272</v>
      </c>
      <c r="C57" s="203" t="s">
        <v>25</v>
      </c>
      <c r="D57" s="231">
        <v>783</v>
      </c>
      <c r="E57" s="232">
        <v>783</v>
      </c>
      <c r="F57" s="232"/>
      <c r="G57" s="232"/>
      <c r="H57" s="232"/>
      <c r="I57" s="231"/>
      <c r="J57" s="231">
        <v>0</v>
      </c>
      <c r="K57" s="232"/>
      <c r="L57" s="232"/>
      <c r="M57" s="232"/>
      <c r="N57" s="232"/>
      <c r="O57" s="231"/>
      <c r="P57" s="231">
        <v>10607</v>
      </c>
      <c r="Q57" s="232">
        <v>10607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46802</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103</v>
      </c>
      <c r="Q58" s="232">
        <v>17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4</v>
      </c>
      <c r="AV58" s="233">
        <v>0</v>
      </c>
      <c r="AW58" s="289"/>
    </row>
    <row r="59" spans="2:49" x14ac:dyDescent="0.2">
      <c r="B59" s="245" t="s">
        <v>274</v>
      </c>
      <c r="C59" s="203" t="s">
        <v>27</v>
      </c>
      <c r="D59" s="231">
        <v>5472</v>
      </c>
      <c r="E59" s="232">
        <v>5580</v>
      </c>
      <c r="F59" s="232"/>
      <c r="G59" s="232"/>
      <c r="H59" s="232"/>
      <c r="I59" s="231"/>
      <c r="J59" s="231">
        <v>0</v>
      </c>
      <c r="K59" s="232"/>
      <c r="L59" s="232"/>
      <c r="M59" s="232"/>
      <c r="N59" s="232"/>
      <c r="O59" s="231"/>
      <c r="P59" s="231">
        <v>125743</v>
      </c>
      <c r="Q59" s="232">
        <v>125848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-19</v>
      </c>
      <c r="AT59" s="233">
        <v>0</v>
      </c>
      <c r="AU59" s="233">
        <v>592376</v>
      </c>
      <c r="AV59" s="233">
        <v>0</v>
      </c>
      <c r="AW59" s="289"/>
    </row>
    <row r="60" spans="2:49" x14ac:dyDescent="0.2">
      <c r="B60" s="245" t="s">
        <v>275</v>
      </c>
      <c r="C60" s="203"/>
      <c r="D60" s="234">
        <f t="shared" ref="D60:AC60" si="0">D$59/12</f>
        <v>456</v>
      </c>
      <c r="E60" s="235">
        <f t="shared" si="0"/>
        <v>465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10478.583333333334</v>
      </c>
      <c r="Q60" s="235">
        <f t="shared" si="0"/>
        <v>10487.333333333334</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0</v>
      </c>
      <c r="AP60" s="235">
        <f t="shared" si="1"/>
        <v>0</v>
      </c>
      <c r="AQ60" s="235">
        <f t="shared" si="1"/>
        <v>0</v>
      </c>
      <c r="AR60" s="235">
        <f t="shared" si="1"/>
        <v>0</v>
      </c>
      <c r="AS60" s="234">
        <f t="shared" si="1"/>
        <v>-1.5833333333333333</v>
      </c>
      <c r="AT60" s="236">
        <f t="shared" si="1"/>
        <v>0</v>
      </c>
      <c r="AU60" s="236">
        <f t="shared" si="1"/>
        <v>49364.666666666664</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1051124</v>
      </c>
      <c r="E5" s="326">
        <v>992050.7</v>
      </c>
      <c r="F5" s="326"/>
      <c r="G5" s="328"/>
      <c r="H5" s="328"/>
      <c r="I5" s="325"/>
      <c r="J5" s="325">
        <v>0</v>
      </c>
      <c r="K5" s="326"/>
      <c r="L5" s="326"/>
      <c r="M5" s="326"/>
      <c r="N5" s="326"/>
      <c r="O5" s="325"/>
      <c r="P5" s="325">
        <v>28572632</v>
      </c>
      <c r="Q5" s="326">
        <v>28496704.629999999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-3055069</v>
      </c>
      <c r="AT5" s="327">
        <v>0</v>
      </c>
      <c r="AU5" s="327">
        <v>390625237</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226617</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-13523</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724981</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-165802</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1448299</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-52971</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2952964</v>
      </c>
      <c r="E23" s="362"/>
      <c r="F23" s="362"/>
      <c r="G23" s="362"/>
      <c r="H23" s="362"/>
      <c r="I23" s="364"/>
      <c r="J23" s="318">
        <v>9993</v>
      </c>
      <c r="K23" s="362"/>
      <c r="L23" s="362"/>
      <c r="M23" s="362"/>
      <c r="N23" s="362"/>
      <c r="O23" s="364"/>
      <c r="P23" s="318">
        <v>21103974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5203174</v>
      </c>
      <c r="AT23" s="321">
        <v>0</v>
      </c>
      <c r="AU23" s="321">
        <v>358190561</v>
      </c>
      <c r="AV23" s="368"/>
      <c r="AW23" s="374"/>
    </row>
    <row r="24" spans="2:49" ht="28.5" customHeight="1" x14ac:dyDescent="0.2">
      <c r="B24" s="345" t="s">
        <v>114</v>
      </c>
      <c r="C24" s="331"/>
      <c r="D24" s="365"/>
      <c r="E24" s="319">
        <v>2813965.46</v>
      </c>
      <c r="F24" s="319"/>
      <c r="G24" s="319"/>
      <c r="H24" s="319"/>
      <c r="I24" s="318"/>
      <c r="J24" s="365"/>
      <c r="K24" s="319"/>
      <c r="L24" s="319"/>
      <c r="M24" s="319"/>
      <c r="N24" s="319"/>
      <c r="O24" s="318"/>
      <c r="P24" s="365"/>
      <c r="Q24" s="319">
        <v>21602120.460000001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193886</v>
      </c>
      <c r="E26" s="362"/>
      <c r="F26" s="362"/>
      <c r="G26" s="362"/>
      <c r="H26" s="362"/>
      <c r="I26" s="364"/>
      <c r="J26" s="318">
        <v>105983</v>
      </c>
      <c r="K26" s="362"/>
      <c r="L26" s="362"/>
      <c r="M26" s="362"/>
      <c r="N26" s="362"/>
      <c r="O26" s="364"/>
      <c r="P26" s="318">
        <v>1924741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354640</v>
      </c>
      <c r="AT26" s="321">
        <v>0</v>
      </c>
      <c r="AU26" s="321">
        <v>40742514</v>
      </c>
      <c r="AV26" s="368"/>
      <c r="AW26" s="374"/>
    </row>
    <row r="27" spans="2:49" s="5" customFormat="1" ht="25.5" x14ac:dyDescent="0.2">
      <c r="B27" s="345" t="s">
        <v>85</v>
      </c>
      <c r="C27" s="331"/>
      <c r="D27" s="365"/>
      <c r="E27" s="319">
        <v>11857.99</v>
      </c>
      <c r="F27" s="319"/>
      <c r="G27" s="319"/>
      <c r="H27" s="319"/>
      <c r="I27" s="318"/>
      <c r="J27" s="365"/>
      <c r="K27" s="319"/>
      <c r="L27" s="319"/>
      <c r="M27" s="319"/>
      <c r="N27" s="319"/>
      <c r="O27" s="318"/>
      <c r="P27" s="365"/>
      <c r="Q27" s="319">
        <v>167361.88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58160</v>
      </c>
      <c r="E28" s="363"/>
      <c r="F28" s="363"/>
      <c r="G28" s="363"/>
      <c r="H28" s="363"/>
      <c r="I28" s="365"/>
      <c r="J28" s="318">
        <v>115754</v>
      </c>
      <c r="K28" s="363"/>
      <c r="L28" s="363"/>
      <c r="M28" s="363"/>
      <c r="N28" s="363"/>
      <c r="O28" s="365"/>
      <c r="P28" s="318">
        <v>1957047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7780943</v>
      </c>
      <c r="AT28" s="321">
        <v>0</v>
      </c>
      <c r="AU28" s="321">
        <v>49687650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-217556</v>
      </c>
      <c r="E30" s="362"/>
      <c r="F30" s="362"/>
      <c r="G30" s="362"/>
      <c r="H30" s="362"/>
      <c r="I30" s="364"/>
      <c r="J30" s="318">
        <v>0</v>
      </c>
      <c r="K30" s="362"/>
      <c r="L30" s="362"/>
      <c r="M30" s="362"/>
      <c r="N30" s="362"/>
      <c r="O30" s="364"/>
      <c r="P30" s="318">
        <v>237556</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2000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1000</v>
      </c>
      <c r="E32" s="363"/>
      <c r="F32" s="363"/>
      <c r="G32" s="363"/>
      <c r="H32" s="363"/>
      <c r="I32" s="365"/>
      <c r="J32" s="318">
        <v>0</v>
      </c>
      <c r="K32" s="363"/>
      <c r="L32" s="363"/>
      <c r="M32" s="363"/>
      <c r="N32" s="363"/>
      <c r="O32" s="365"/>
      <c r="P32" s="318">
        <v>17000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1666321</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226617</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-13523</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724981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-165802</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1448299</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-52971</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70558</v>
      </c>
      <c r="E49" s="319">
        <v>34001.61</v>
      </c>
      <c r="F49" s="319"/>
      <c r="G49" s="319"/>
      <c r="H49" s="319"/>
      <c r="I49" s="318"/>
      <c r="J49" s="318">
        <v>8135</v>
      </c>
      <c r="K49" s="319"/>
      <c r="L49" s="319"/>
      <c r="M49" s="319"/>
      <c r="N49" s="319"/>
      <c r="O49" s="318"/>
      <c r="P49" s="318">
        <v>65453</v>
      </c>
      <c r="Q49" s="319">
        <v>637824.07999999996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3720315</v>
      </c>
      <c r="AV49" s="368"/>
      <c r="AW49" s="374"/>
    </row>
    <row r="50" spans="2:49" x14ac:dyDescent="0.2">
      <c r="B50" s="343" t="s">
        <v>119</v>
      </c>
      <c r="C50" s="331" t="s">
        <v>34</v>
      </c>
      <c r="D50" s="318">
        <v>34295</v>
      </c>
      <c r="E50" s="363"/>
      <c r="F50" s="363"/>
      <c r="G50" s="363"/>
      <c r="H50" s="363"/>
      <c r="I50" s="365"/>
      <c r="J50" s="318">
        <v>7912</v>
      </c>
      <c r="K50" s="363"/>
      <c r="L50" s="363"/>
      <c r="M50" s="363"/>
      <c r="N50" s="363"/>
      <c r="O50" s="365"/>
      <c r="P50" s="318">
        <v>8907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1161</v>
      </c>
      <c r="AT50" s="321">
        <v>0</v>
      </c>
      <c r="AU50" s="321">
        <v>2655684</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2833871</v>
      </c>
      <c r="E54" s="323">
        <f>E24+E27+E31+E35-E36+E39+E42+E45+E46-E49+E51+E52+E53</f>
        <v>2791821.8400000003</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-1</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20738977</v>
      </c>
      <c r="Q54" s="323">
        <f>Q24+Q27+Q31+Q35-Q36+Q39+Q42+Q45+Q46-Q49+Q51+Q52+Q53</f>
        <v>21133658.260000002</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0</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-3888289</v>
      </c>
      <c r="AT54" s="324">
        <f>AT23+AT26-AT28+AT30-AT32+AT34-AT36+AT38+AT41-AT43+AT45+AT46-AT47-AT49+AT50+AT51+AT52+AT53</f>
        <v>0</v>
      </c>
      <c r="AU54" s="324">
        <f>AU23+AU26-AU28+AU30-AU32+AU34-AU36+AU38+AU41-AU43+AU45+AU46-AU47-AU49+AU50+AU51+AU52+AU53</f>
        <v>348054440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v>704.76</v>
      </c>
      <c r="E56" s="319">
        <v>704.76</v>
      </c>
      <c r="F56" s="319"/>
      <c r="G56" s="319"/>
      <c r="H56" s="319"/>
      <c r="I56" s="318"/>
      <c r="J56" s="318"/>
      <c r="K56" s="319"/>
      <c r="L56" s="319"/>
      <c r="M56" s="319"/>
      <c r="N56" s="319"/>
      <c r="O56" s="318"/>
      <c r="P56" s="318">
        <v>36703.01</v>
      </c>
      <c r="Q56" s="319">
        <v>36703.01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1122532</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359289.46</v>
      </c>
      <c r="D5" s="403">
        <v>505206.05</v>
      </c>
      <c r="E5" s="454"/>
      <c r="F5" s="454"/>
      <c r="G5" s="448"/>
      <c r="H5" s="402">
        <v>328919.67</v>
      </c>
      <c r="I5" s="403">
        <v>348630.99</v>
      </c>
      <c r="J5" s="454"/>
      <c r="K5" s="454"/>
      <c r="L5" s="448"/>
      <c r="M5" s="402">
        <v>18552487.719999999</v>
      </c>
      <c r="N5" s="403">
        <v>20590263.050000001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358504.11</v>
      </c>
      <c r="D6" s="398">
        <v>509702.21</v>
      </c>
      <c r="E6" s="400">
        <f>SUM('Pt 1 Summary of Data'!E$12,'Pt 1 Summary of Data'!E$22)+SUM('Pt 1 Summary of Data'!G$12,'Pt 1 Summary of Data'!G$22)-SUM('Pt 1 Summary of Data'!H$12,'Pt 1 Summary of Data'!H$22)</f>
        <v>2791821.8400000003</v>
      </c>
      <c r="F6" s="400">
        <f t="shared" ref="F6:F11" si="0">SUM(C6:E6)</f>
        <v>3660028.16</v>
      </c>
      <c r="G6" s="401">
        <f>SUM('Pt 1 Summary of Data'!I$12,'Pt 1 Summary of Data'!I$22)</f>
        <v>0</v>
      </c>
      <c r="H6" s="397">
        <v>62706.91</v>
      </c>
      <c r="I6" s="398">
        <v>-9729.02</v>
      </c>
      <c r="J6" s="400">
        <f>SUM('Pt 1 Summary of Data'!K$12,'Pt 1 Summary of Data'!K$22)+SUM('Pt 1 Summary of Data'!M$12,'Pt 1 Summary of Data'!M$22)-SUM('Pt 1 Summary of Data'!N$12,'Pt 1 Summary of Data'!N$22)</f>
        <v>0</v>
      </c>
      <c r="K6" s="400">
        <f>SUM(H6:J6)</f>
        <v>52977.89</v>
      </c>
      <c r="L6" s="401">
        <f>SUM('Pt 1 Summary of Data'!O$12,'Pt 1 Summary of Data'!O$22)</f>
        <v>0</v>
      </c>
      <c r="M6" s="397">
        <v>18825786.600000001</v>
      </c>
      <c r="N6" s="398">
        <v>21274587.899999999</v>
      </c>
      <c r="O6" s="400">
        <f>SUM('Pt 1 Summary of Data'!Q$12,'Pt 1 Summary of Data'!Q$22)+SUM('Pt 1 Summary of Data'!S$12,'Pt 1 Summary of Data'!S$22)-SUM('Pt 1 Summary of Data'!T$12,'Pt 1 Summary of Data'!T$22)</f>
        <v>21133658.260000002</v>
      </c>
      <c r="P6" s="400">
        <f>SUM(M6:O6)</f>
        <v>61234032.760000005</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f>SUM('Pt 1 Summary of Data'!AO$12,'Pt 1 Summary of Data'!AO$22)+SUM('Pt 1 Summary of Data'!AQ$12,'Pt 1 Summary of Data'!AQ$22)-SUM('Pt 1 Summary of Data'!AR$12,'Pt 1 Summary of Data'!AR$22)</f>
        <v>0</v>
      </c>
      <c r="AN6" s="430">
        <f>SUM(AK6:AM6)</f>
        <v>0</v>
      </c>
    </row>
    <row r="7" spans="1:40" x14ac:dyDescent="0.2">
      <c r="B7" s="415" t="s">
        <v>310</v>
      </c>
      <c r="C7" s="397">
        <v>4051.76</v>
      </c>
      <c r="D7" s="398">
        <v>33900.85</v>
      </c>
      <c r="E7" s="400">
        <f>SUM('Pt 1 Summary of Data'!E$37:E$41)+SUM('Pt 1 Summary of Data'!G$37:G$41)-SUM('Pt 1 Summary of Data'!H$37:H$41)+MAX(0,MIN('Pt 1 Summary of Data'!E$42+'Pt 1 Summary of Data'!G$42-'Pt 1 Summary of Data'!H$42,0.3%*('Pt 1 Summary of Data'!E$5+'Pt 1 Summary of Data'!G$5-'Pt 1 Summary of Data'!H$5-SUM(E$9:E$11))))</f>
        <v>12065.939999999999</v>
      </c>
      <c r="F7" s="400">
        <f t="shared" si="0"/>
        <v>50018.55</v>
      </c>
      <c r="G7" s="401">
        <f>SUM('Pt 1 Summary of Data'!I$37:I$41)+MAX(0,MIN(VALUE('Pt 1 Summary of Data'!I$42),0.3%*('Pt 1 Summary of Data'!I$5-SUM(G$9:G$10))))</f>
        <v>0</v>
      </c>
      <c r="H7" s="397"/>
      <c r="I7" s="398"/>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v>420340.8</v>
      </c>
      <c r="N7" s="398">
        <v>400120.25</v>
      </c>
      <c r="O7" s="400">
        <f>SUM('Pt 1 Summary of Data'!Q$37:Q$41)+SUM('Pt 1 Summary of Data'!S$37:S$41)-SUM('Pt 1 Summary of Data'!T$37:T$41)+MAX(0,MIN('Pt 1 Summary of Data'!Q$42+'Pt 1 Summary of Data'!S$42-'Pt 1 Summary of Data'!T$42,0.3%*('Pt 1 Summary of Data'!Q$5+'Pt 1 Summary of Data'!S$5-'Pt 1 Summary of Data'!T$5)))</f>
        <v>407767.77999999997</v>
      </c>
      <c r="P7" s="400">
        <f>SUM(M7:O7)</f>
        <v>1228228.83</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f>SUM('Pt 1 Summary of Data'!AO$37:AO$41)+SUM('Pt 1 Summary of Data'!AQ$37:AQ$41)-SUM('Pt 1 Summary of Data'!AR$37:AR$41)+MAX(0,MIN('Pt 1 Summary of Data'!AO$42+'Pt 1 Summary of Data'!AQ$42-'Pt 1 Summary of Data'!AR$42,0.3%*('Pt 1 Summary of Data'!AO$5+'Pt 1 Summary of Data'!AQ$5-'Pt 1 Summary of Data'!AR$5)))</f>
        <v>0</v>
      </c>
      <c r="AN7" s="430">
        <f>SUM(AK7:AM7)</f>
        <v>0</v>
      </c>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362555.87</v>
      </c>
      <c r="D12" s="400">
        <f>SUM(D$6:D$7) - SUM(D$8:D$11)+IF(AND(OR('Company Information'!$C$12="District of Columbia",'Company Information'!$C$12="Massachusetts",'Company Information'!$C$12="Vermont"),SUM($C$6:$F$11,$C$15:$F$16,$C$38:$D$38)&lt;&gt;0),SUM(I$6:I$7) - SUM(I$10:I$11),0)</f>
        <v>543603.06000000006</v>
      </c>
      <c r="E12" s="400">
        <f>SUM(E$6:E$7)-SUM(E$8:E$11)+IF(AND(OR('Company Information'!$C$12="District of Columbia",'Company Information'!$C$12="Massachusetts",'Company Information'!$C$12="Vermont"),SUM($C$6:$F$11,$C$15:$F$16,$C$38:$D$38)&lt;&gt;0),SUM(J$6:J$7)-SUM(J$10:J$11),0)</f>
        <v>2803887.7800000003</v>
      </c>
      <c r="F12" s="400">
        <f>IFERROR(SUM(C$12:E$12)+C$17*MAX(0,E$50-C$50)+D$17*MAX(0,E$50-D$50),0)</f>
        <v>3710046.7100000004</v>
      </c>
      <c r="G12" s="447"/>
      <c r="H12" s="399">
        <f>SUM(H$6:H$7)+IF(AND(OR('Company Information'!$C$12="District of Columbia",'Company Information'!$C$12="Massachusetts",'Company Information'!$C$12="Vermont"),SUM($H$6:$K$11,$H$15:$K$16,$H$38:$I$38)&lt;&gt;0),SUM(C$6:C$7),0)</f>
        <v>62706.91</v>
      </c>
      <c r="I12" s="400">
        <f>SUM(I$6:I$7) - SUM(I$10:I$11)+IF(AND(OR('Company Information'!$C$12="District of Columbia",'Company Information'!$C$12="Massachusetts",'Company Information'!$C$12="Vermont"),SUM($H$6:$K$11,$H$15:$K$16,$H$38:$I$38)&lt;&gt;0),SUM(D$6:D$7) - SUM(D$8:D$11),0)</f>
        <v>-9729.02</v>
      </c>
      <c r="J12" s="400">
        <f>SUM(J$6:J$7)-SUM(J$10:J$11)+IF(AND(OR('Company Information'!$C$12="District of Columbia",'Company Information'!$C$12="Massachusetts",'Company Information'!$C$12="Vermont"),SUM($H$6:$K$11,$H$15:$K$16,$H$38:$I$38)&lt;&gt;0),SUM(E$6:E$7)-SUM(E$8:E$11),0)</f>
        <v>0</v>
      </c>
      <c r="K12" s="400">
        <f>IFERROR(SUM(H$12:J$12)+H$17*MAX(0,J$50-H$50)+I$17*MAX(0,J$50-I$50),0)</f>
        <v>52977.89</v>
      </c>
      <c r="L12" s="447"/>
      <c r="M12" s="399">
        <f>SUM(M$6:M$7)</f>
        <v>19246127.400000002</v>
      </c>
      <c r="N12" s="400">
        <f>SUM(N$6:N$7)</f>
        <v>21674708.149999999</v>
      </c>
      <c r="O12" s="400">
        <f>SUM(O$6:O$7)</f>
        <v>21541426.040000003</v>
      </c>
      <c r="P12" s="400">
        <f>SUM(M$12:O$12)+M$17*MAX(0,O$50-M$50)+N$17*MAX(0,O$50-N$50)</f>
        <v>62462261.590000004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0</v>
      </c>
      <c r="AL13" s="400">
        <f>SUM(AL$6:AL$7)</f>
        <v>0</v>
      </c>
      <c r="AM13" s="400">
        <f>SUM(AM$6:AM$7)</f>
        <v>0</v>
      </c>
      <c r="AN13" s="430">
        <f>SUM(AN$6:AN$7)</f>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612241.39</v>
      </c>
      <c r="D15" s="403">
        <v>502151.84</v>
      </c>
      <c r="E15" s="395">
        <f>SUM('Pt 1 Summary of Data'!E$5:E$7)+SUM('Pt 1 Summary of Data'!G$5:G$7)-SUM('Pt 1 Summary of Data'!H$5:H$7)-SUM(E$9:E$11)</f>
        <v>992050.7</v>
      </c>
      <c r="F15" s="395">
        <f>SUM(C15:E15)</f>
        <v>2106443.9299999997</v>
      </c>
      <c r="G15" s="396">
        <f>SUM('Pt 1 Summary of Data'!I$5:I$7)-SUM(G$9:G$10)</f>
        <v>0</v>
      </c>
      <c r="H15" s="402">
        <v>874906.8</v>
      </c>
      <c r="I15" s="403">
        <v>682537.83</v>
      </c>
      <c r="J15" s="395">
        <f>SUM('Pt 1 Summary of Data'!K$5:K$7)+SUM('Pt 1 Summary of Data'!M$5:M$7)-SUM('Pt 1 Summary of Data'!N$5:N$7)-SUM(J$10:J$11)</f>
        <v>0</v>
      </c>
      <c r="K15" s="395">
        <f>SUM(H15:J15)</f>
        <v>1557444.63</v>
      </c>
      <c r="L15" s="396">
        <f>SUM('Pt 1 Summary of Data'!O$5:O$7)-L$10</f>
        <v>0</v>
      </c>
      <c r="M15" s="402">
        <v>25585577.91</v>
      </c>
      <c r="N15" s="403">
        <v>25021225.890000001</v>
      </c>
      <c r="O15" s="395">
        <f>SUM('Pt 1 Summary of Data'!Q$5:Q$7)+SUM('Pt 1 Summary of Data'!S$5:S$7)-SUM('Pt 1 Summary of Data'!T$5:T$7)+N$56</f>
        <v>28496704.629999999</v>
      </c>
      <c r="P15" s="395">
        <f>SUM(M15:O15)</f>
        <v>79103508.429999992</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f>SUM('Pt 1 Summary of Data'!AO$5:AO$7)+SUM('Pt 1 Summary of Data'!AQ$5:AQ$7)-SUM('Pt 1 Summary of Data'!AR$5:AR$7)+AL$56</f>
        <v>0</v>
      </c>
      <c r="AN15" s="431">
        <f>SUM(AK15:AM15)</f>
        <v>0</v>
      </c>
    </row>
    <row r="16" spans="1:40" x14ac:dyDescent="0.2">
      <c r="B16" s="415" t="s">
        <v>311</v>
      </c>
      <c r="C16" s="397">
        <v>6744</v>
      </c>
      <c r="D16" s="398">
        <v>31446.28</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30442.81</v>
      </c>
      <c r="F16" s="400">
        <f>SUM(C16:E16)</f>
        <v>68633.09</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v>452480</v>
      </c>
      <c r="N16" s="398">
        <v>680453.3</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887533.47</v>
      </c>
      <c r="P16" s="400">
        <f>SUM(M16:O16)</f>
        <v>2020466.77</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30">
        <f>SUM(AK16:AM16)</f>
        <v>0</v>
      </c>
    </row>
    <row r="17" spans="1:40" s="65" customFormat="1" x14ac:dyDescent="0.2">
      <c r="A17" s="108"/>
      <c r="B17" s="416" t="s">
        <v>318</v>
      </c>
      <c r="C17" s="399">
        <f>C$15-C$16+IF(AND(OR('Company Information'!$C$12="District of Columbia",'Company Information'!$C$12="Massachusetts",'Company Information'!$C$12="Vermont"),SUM($C$6:$F$11,$C$15:$F$16,$C$38:$D$38)&lt;&gt;0),H$15-H$16,0)</f>
        <v>605497.39</v>
      </c>
      <c r="D17" s="400">
        <f>D$15-D$16+IF(AND(OR('Company Information'!$C$12="District of Columbia",'Company Information'!$C$12="Massachusetts",'Company Information'!$C$12="Vermont"),SUM($C$6:$F$11,$C$15:$F$16,$C$38:$D$38)&lt;&gt;0),I$15-I$16,0)</f>
        <v>470705.56000000006</v>
      </c>
      <c r="E17" s="400">
        <f>E$15-E$16+IF(AND(OR('Company Information'!$C$12="District of Columbia",'Company Information'!$C$12="Massachusetts",'Company Information'!$C$12="Vermont"),SUM($C$6:$F$11,$C$15:$F$16,$C$38:$D$38)&lt;&gt;0),J$15-J$16,0)</f>
        <v>961607.8899999999</v>
      </c>
      <c r="F17" s="400">
        <f>F$15-F$16+IF(AND(OR('Company Information'!$C$12="District of Columbia",'Company Information'!$C$12="Massachusetts",'Company Information'!$C$12="Vermont"),SUM($C$6:$F$11,$C$15:$F$16,$C$38:$D$38)&lt;&gt;0),K$15-K$16,0)</f>
        <v>2037810.8399999996</v>
      </c>
      <c r="G17" s="450"/>
      <c r="H17" s="399">
        <f>H$15-H$16+IF(AND(OR('Company Information'!$C$12="District of Columbia",'Company Information'!$C$12="Massachusetts",'Company Information'!$C$12="Vermont"),SUM($H$6:$K$11,$H$15:$K$16,$H$38:$I$38)&lt;&gt;0),C$15-C$16,0)</f>
        <v>874906.8</v>
      </c>
      <c r="I17" s="400">
        <f>I$15-I$16+IF(AND(OR('Company Information'!$C$12="District of Columbia",'Company Information'!$C$12="Massachusetts",'Company Information'!$C$12="Vermont"),SUM($H$6:$K$11,$H$15:$K$16,$H$38:$I$38)&lt;&gt;0),D$15-D$16,0)</f>
        <v>682537.83</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1557444.63</v>
      </c>
      <c r="L17" s="450"/>
      <c r="M17" s="399">
        <f>M$15-M$16</f>
        <v>25133097.91</v>
      </c>
      <c r="N17" s="400">
        <f>N$15-N$16</f>
        <v>24340772.59</v>
      </c>
      <c r="O17" s="400">
        <f>O$15-O$16</f>
        <v>27609171.16</v>
      </c>
      <c r="P17" s="400">
        <f>P$15-P$16</f>
        <v>77083041.659999996</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0</v>
      </c>
      <c r="AL17" s="400">
        <f>AL$15-AL$16</f>
        <v>0</v>
      </c>
      <c r="AM17" s="400">
        <f>AM$15-AM$16</f>
        <v>0</v>
      </c>
      <c r="AN17" s="430">
        <f>AN$15-AN$16</f>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423</v>
      </c>
      <c r="D38" s="405">
        <v>272.33</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465</v>
      </c>
      <c r="F38" s="432">
        <f>SUM(C$38:E$38)+IF(AND(OR('Company Information'!$C$12="District of Columbia",'Company Information'!$C$12="Massachusetts",'Company Information'!$C$12="Vermont"),SUM($C$6:$F$11,$C$15:$F$16,$C$38:$D$38)&lt;&gt;0,SUM(C$38:D$38)&lt;&gt;SUM(H$38:I$38)),SUM(H$38:I$38),0)</f>
        <v>1160.33</v>
      </c>
      <c r="G38" s="448"/>
      <c r="H38" s="404"/>
      <c r="I38" s="405"/>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v>10441</v>
      </c>
      <c r="N38" s="405">
        <v>9734.16</v>
      </c>
      <c r="O38" s="432">
        <f>('Pt 1 Summary of Data'!Q$59+'Pt 1 Summary of Data'!S$59-'Pt 1 Summary of Data'!T$59)/12</f>
        <v>10487.333333333334</v>
      </c>
      <c r="P38" s="432">
        <f>SUM(M$38:O$38)</f>
        <v>30662.493333333332</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f>('Pt 1 Summary of Data'!AO$59+'Pt 1 Summary of Data'!AQ$59-'Pt 1 Summary of Data'!AR$59)/12</f>
        <v>0</v>
      </c>
      <c r="AN38" s="433">
        <f>SUM(AK38:AM38)</f>
        <v>0</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7.9686513333333334E-2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1.5094001066666668E-2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0" customFormat="1" x14ac:dyDescent="0.2">
      <c r="A40" s="107"/>
      <c r="B40" s="421" t="s">
        <v>321</v>
      </c>
      <c r="C40" s="443"/>
      <c r="D40" s="441"/>
      <c r="E40" s="441"/>
      <c r="F40" s="398"/>
      <c r="G40" s="447"/>
      <c r="H40" s="443"/>
      <c r="I40" s="441"/>
      <c r="J40" s="441"/>
      <c r="K40" s="398"/>
      <c r="L40" s="447"/>
      <c r="M40" s="443"/>
      <c r="N40" s="441"/>
      <c r="O40" s="441"/>
      <c r="P40" s="398">
        <v>100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 ca="1">IF(OR(F$38&lt;1000,F$38&gt;=75000),0,F$39*F$41)</f>
        <v>7.9686513333333334E-2</v>
      </c>
      <c r="G42" s="447"/>
      <c r="H42" s="443"/>
      <c r="I42" s="441"/>
      <c r="J42" s="441"/>
      <c r="K42" s="436">
        <f>IF(OR(K$38&lt;1000,K$38&gt;=75000),0,K$39*K$41)</f>
        <v>0</v>
      </c>
      <c r="L42" s="447"/>
      <c r="M42" s="443"/>
      <c r="N42" s="441"/>
      <c r="O42" s="441"/>
      <c r="P42" s="436">
        <f ca="1">IF(OR(P$38&lt;1000,P$38&gt;=75000),0,P$39*P$41)</f>
        <v>1.5094001066666668E-2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IF(OR(AN$38&lt;1000,AN$38&gt;=75000),0,AN$39*AN$41)</f>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f>IF(OR(F$38&lt;1000,F$17&lt;=0),"",F$12/F$17)</f>
        <v>1.8206040703954647</v>
      </c>
      <c r="G45" s="447"/>
      <c r="H45" s="438" t="str">
        <f>IF(OR(H$38&lt;1000,H$17&lt;=0),"",H$12/H$17)</f>
        <v/>
      </c>
      <c r="I45" s="436" t="str">
        <f>IF(OR(I$38&lt;1000,I$17&lt;=0),"",I$12/I$17)</f>
        <v/>
      </c>
      <c r="J45" s="436" t="str">
        <f>IF(OR(J$38&lt;1000,J$17&lt;=0),"",J$12/J$17)</f>
        <v/>
      </c>
      <c r="K45" s="436" t="str">
        <f>IF(OR(K$38&lt;1000,K$17&lt;=0),"",K$12/K$17)</f>
        <v/>
      </c>
      <c r="L45" s="447"/>
      <c r="M45" s="438">
        <f>IF(OR(M$38&lt;1000,M$17&lt;=0),"",M$12/M$17)</f>
        <v>0.76576821006782136</v>
      </c>
      <c r="N45" s="436">
        <f>IF(OR(N$38&lt;1000,N$17&lt;=0),"",N$12/N$17)</f>
        <v>0.89046919401829872</v>
      </c>
      <c r="O45" s="436">
        <f>IF(OR(O$38&lt;1000,O$17&lt;=0),"",O$12/O$17)</f>
        <v>0.78022719027542164</v>
      </c>
      <c r="P45" s="436">
        <f>IF(OR(P$38&lt;1000,P$17&lt;=0),"",P$12/P$17)</f>
        <v>0.81032429759985691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t="str">
        <f>IF(OR(AK$38&lt;1000,AK$17&lt;=0),"",AK$13/AK$17)</f>
        <v/>
      </c>
      <c r="AL46" s="436" t="str">
        <f>IF(OR(AL$38&lt;1000,AL$17&lt;=0),"",AL$13/AL$17)</f>
        <v/>
      </c>
      <c r="AM46" s="436" t="str">
        <f>IF(OR(AM$38&lt;1000,AM$17&lt;=0),"",AM$13/AM$17)</f>
        <v/>
      </c>
      <c r="AN46" s="437" t="str">
        <f>IF(OR(AN$38&lt;1000,AN$17&lt;=0),"",AN$13/AN$17)</f>
        <v/>
      </c>
    </row>
    <row r="47" spans="1:40" s="65" customFormat="1" x14ac:dyDescent="0.2">
      <c r="A47" s="107"/>
      <c r="B47" s="421" t="s">
        <v>328</v>
      </c>
      <c r="C47" s="443"/>
      <c r="D47" s="441"/>
      <c r="E47" s="441"/>
      <c r="F47" s="436">
        <f ca="1">IF(F$45="","",F$42)</f>
        <v>7.9686513333333334E-2</v>
      </c>
      <c r="G47" s="447"/>
      <c r="H47" s="443"/>
      <c r="I47" s="441"/>
      <c r="J47" s="441"/>
      <c r="K47" s="436" t="str">
        <f>IF(K$45="","",K$42)</f>
        <v/>
      </c>
      <c r="L47" s="447"/>
      <c r="M47" s="443"/>
      <c r="N47" s="441"/>
      <c r="O47" s="441"/>
      <c r="P47" s="436">
        <f ca="1">IF(P$45="","",P$42)</f>
        <v>1.5094001066666668E-2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t="str">
        <f>IF(AN$46="","",AN$42)</f>
        <v/>
      </c>
    </row>
    <row r="48" spans="1:40" s="9" customFormat="1" x14ac:dyDescent="0.2">
      <c r="A48" s="108"/>
      <c r="B48" s="423" t="s">
        <v>327</v>
      </c>
      <c r="C48" s="443"/>
      <c r="D48" s="441"/>
      <c r="E48" s="441"/>
      <c r="F48" s="436">
        <f ca="1">IF(F$45="","",ROUND(F$45+MAX(0,F$47),3))</f>
        <v>1.9</v>
      </c>
      <c r="G48" s="447"/>
      <c r="H48" s="443"/>
      <c r="I48" s="441"/>
      <c r="J48" s="441"/>
      <c r="K48" s="436" t="str">
        <f>IF(K$45="","",ROUND(K$45+MAX(0,K$47),3))</f>
        <v/>
      </c>
      <c r="L48" s="447"/>
      <c r="M48" s="443"/>
      <c r="N48" s="441"/>
      <c r="O48" s="441"/>
      <c r="P48" s="436">
        <f ca="1">IF(P$45="","",ROUND(P$45+MAX(0,P$47),3))</f>
        <v>0.82499999999999996</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t="str">
        <f>IF(AN$46="","",ROUND(AN$46+MAX(0,AN$47),3))</f>
        <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1.6</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1.9</v>
      </c>
      <c r="G51" s="447"/>
      <c r="H51" s="444"/>
      <c r="I51" s="442"/>
      <c r="J51" s="442"/>
      <c r="K51" s="436" t="str">
        <f>K$48</f>
        <v/>
      </c>
      <c r="L51" s="447"/>
      <c r="M51" s="444"/>
      <c r="N51" s="442"/>
      <c r="O51" s="442"/>
      <c r="P51" s="436">
        <f ca="1">P$48</f>
        <v>0.82499999999999996</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t="str">
        <f>AN$48</f>
        <v/>
      </c>
    </row>
    <row r="52" spans="1:40" s="65" customFormat="1" ht="26.25" customHeight="1" x14ac:dyDescent="0.2">
      <c r="A52" s="107"/>
      <c r="B52" s="419" t="s">
        <v>332</v>
      </c>
      <c r="C52" s="443"/>
      <c r="D52" s="441"/>
      <c r="E52" s="441"/>
      <c r="F52" s="400">
        <f>IF(F$38&lt;1000,"",MAX(0,E$15-E$16))</f>
        <v>961607.8899999999</v>
      </c>
      <c r="G52" s="447"/>
      <c r="H52" s="443"/>
      <c r="I52" s="441"/>
      <c r="J52" s="441"/>
      <c r="K52" s="400" t="str">
        <f>IF(K$38&lt;1000,"",MAX(0,J$15-J$16))</f>
        <v/>
      </c>
      <c r="L52" s="447"/>
      <c r="M52" s="443"/>
      <c r="N52" s="441"/>
      <c r="O52" s="441"/>
      <c r="P52" s="400">
        <f>IF(P$38&lt;1000,"",MAX(0,O$15-O$16))</f>
        <v>27609171.16</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t="str">
        <f>IF(AN$38&lt;1000,"",MAX(0,AM$15-AM$16))</f>
        <v/>
      </c>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 ca="1">IF(OR(P$38&lt;1000,P$17&lt;=0),0,MAX(0,P$50-P$51)*P$52)</f>
        <v>690229.27900000056</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631</v>
      </c>
      <c r="D4" s="104">
        <f>'Pt 1 Summary of Data'!$K$56+'Pt 1 Summary of Data'!$M$56-'Pt 1 Summary of Data'!$N$56</f>
        <v>0</v>
      </c>
      <c r="E4" s="104">
        <f>'Pt 1 Summary of Data'!$Q$56+'Pt 1 Summary of Data'!$S$56-'Pt 1 Summary of Data'!$T$56</f>
        <v>4258</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c r="E6" s="100">
        <v>21</v>
      </c>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v>0</v>
      </c>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 ca="1">'Pt 3 MLR and Rebate Calculation'!$P$53</f>
        <v>690229.27900000056</v>
      </c>
      <c r="F11" s="97">
        <f>'Pt 3 MLR and Rebate Calculation'!$T$53</f>
        <v>0</v>
      </c>
      <c r="G11" s="97"/>
      <c r="H11" s="97"/>
      <c r="I11" s="178"/>
      <c r="J11" s="178"/>
      <c r="K11" s="196"/>
    </row>
    <row r="12" spans="2:11" x14ac:dyDescent="0.2">
      <c r="B12" s="124" t="s">
        <v>93</v>
      </c>
      <c r="C12" s="94"/>
      <c r="D12" s="95"/>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690229.28</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80501.84</v>
      </c>
      <c r="E16" s="99">
        <v>146114.76999999999</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c r="D22" s="127">
        <v>27972.3</v>
      </c>
      <c r="E22" s="127">
        <v>12685.39</v>
      </c>
      <c r="F22" s="127"/>
      <c r="G22" s="127"/>
      <c r="H22" s="127"/>
      <c r="I22" s="181"/>
      <c r="J22" s="181"/>
      <c r="K22" s="200"/>
    </row>
    <row r="23" spans="2:12" s="5" customFormat="1" ht="100.15" customHeight="1" x14ac:dyDescent="0.2">
      <c r="B23" s="91" t="s">
        <v>212</v>
      </c>
      <c r="C23" s="483" t="s">
        <v>528</v>
      </c>
      <c r="D23" s="484"/>
      <c r="E23" s="484"/>
      <c r="F23" s="484"/>
      <c r="G23" s="484"/>
      <c r="H23" s="484"/>
      <c r="I23" s="484"/>
      <c r="J23" s="484"/>
      <c r="K23" s="485"/>
    </row>
    <row r="24" spans="2:12" s="5" customFormat="1" ht="100.15" customHeight="1" x14ac:dyDescent="0.2">
      <c r="B24" s="90" t="s">
        <v>213</v>
      </c>
      <c r="C24" s="486" t="s">
        <v>529</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507</v>
      </c>
      <c r="E27" s="7"/>
    </row>
    <row r="28" spans="2:5" ht="35.25" customHeight="1" x14ac:dyDescent="0.2">
      <c r="B28" s="134"/>
      <c r="C28" s="113"/>
      <c r="D28" s="137" t="s">
        <v>508</v>
      </c>
      <c r="E28" s="7"/>
    </row>
    <row r="29" spans="2:5" ht="35.25" customHeight="1" x14ac:dyDescent="0.2">
      <c r="B29" s="134"/>
      <c r="C29" s="113"/>
      <c r="D29" s="137" t="s">
        <v>509</v>
      </c>
      <c r="E29" s="7"/>
    </row>
    <row r="30" spans="2:5" ht="35.25" customHeight="1" x14ac:dyDescent="0.2">
      <c r="B30" s="134"/>
      <c r="C30" s="113"/>
      <c r="D30" s="137" t="s">
        <v>510</v>
      </c>
      <c r="E30" s="7"/>
    </row>
    <row r="31" spans="2:5" ht="35.25" customHeight="1" x14ac:dyDescent="0.2">
      <c r="B31" s="134"/>
      <c r="C31" s="113"/>
      <c r="D31" s="137" t="s">
        <v>511</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512</v>
      </c>
      <c r="E34" s="7"/>
    </row>
    <row r="35" spans="2:5" ht="35.25" customHeight="1" x14ac:dyDescent="0.2">
      <c r="B35" s="134"/>
      <c r="C35" s="113"/>
      <c r="D35" s="137" t="s">
        <v>513</v>
      </c>
      <c r="E35" s="7"/>
    </row>
    <row r="36" spans="2:5" ht="35.25" customHeight="1" x14ac:dyDescent="0.2">
      <c r="B36" s="134"/>
      <c r="C36" s="113"/>
      <c r="D36" s="137" t="s">
        <v>514</v>
      </c>
      <c r="E36" s="7"/>
    </row>
    <row r="37" spans="2:5" ht="35.25" customHeight="1" x14ac:dyDescent="0.2">
      <c r="B37" s="134"/>
      <c r="C37" s="113"/>
      <c r="D37" s="137" t="s">
        <v>515</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517</v>
      </c>
      <c r="E48" s="7"/>
    </row>
    <row r="49" spans="2:5" ht="35.25" customHeight="1" x14ac:dyDescent="0.2">
      <c r="B49" s="134"/>
      <c r="C49" s="113"/>
      <c r="D49" s="137" t="s">
        <v>518</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519</v>
      </c>
      <c r="E56" s="7"/>
    </row>
    <row r="57" spans="2:5" ht="35.25" customHeight="1" x14ac:dyDescent="0.2">
      <c r="B57" s="134"/>
      <c r="C57" s="115"/>
      <c r="D57" s="137" t="s">
        <v>520</v>
      </c>
      <c r="E57" s="7"/>
    </row>
    <row r="58" spans="2:5" ht="35.25" customHeight="1" x14ac:dyDescent="0.2">
      <c r="B58" s="134"/>
      <c r="C58" s="115"/>
      <c r="D58" s="137" t="s">
        <v>521</v>
      </c>
      <c r="E58" s="7"/>
    </row>
    <row r="59" spans="2:5" ht="35.25" customHeight="1" x14ac:dyDescent="0.2">
      <c r="B59" s="134"/>
      <c r="C59" s="115"/>
      <c r="D59" s="137" t="s">
        <v>522</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519</v>
      </c>
      <c r="E67" s="7"/>
    </row>
    <row r="68" spans="2:5" ht="35.25" customHeight="1" x14ac:dyDescent="0.2">
      <c r="B68" s="134"/>
      <c r="C68" s="115"/>
      <c r="D68" s="137" t="s">
        <v>520</v>
      </c>
      <c r="E68" s="7"/>
    </row>
    <row r="69" spans="2:5" ht="35.25" customHeight="1" x14ac:dyDescent="0.2">
      <c r="B69" s="134"/>
      <c r="C69" s="115"/>
      <c r="D69" s="137" t="s">
        <v>521</v>
      </c>
      <c r="E69" s="7"/>
    </row>
    <row r="70" spans="2:5" ht="35.25" customHeight="1" x14ac:dyDescent="0.2">
      <c r="B70" s="134"/>
      <c r="C70" s="115"/>
      <c r="D70" s="137" t="s">
        <v>522</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519</v>
      </c>
      <c r="E78" s="7"/>
    </row>
    <row r="79" spans="2:5" ht="35.25" customHeight="1" x14ac:dyDescent="0.2">
      <c r="B79" s="134"/>
      <c r="C79" s="115"/>
      <c r="D79" s="137" t="s">
        <v>520</v>
      </c>
      <c r="E79" s="7"/>
    </row>
    <row r="80" spans="2:5" ht="35.25" customHeight="1" x14ac:dyDescent="0.2">
      <c r="B80" s="134"/>
      <c r="C80" s="115"/>
      <c r="D80" s="137" t="s">
        <v>521</v>
      </c>
      <c r="E80" s="7"/>
    </row>
    <row r="81" spans="2:5" ht="35.25" customHeight="1" x14ac:dyDescent="0.2">
      <c r="B81" s="134"/>
      <c r="C81" s="115"/>
      <c r="D81" s="137" t="s">
        <v>522</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519</v>
      </c>
      <c r="E89" s="7"/>
    </row>
    <row r="90" spans="2:5" ht="35.25" customHeight="1" x14ac:dyDescent="0.2">
      <c r="B90" s="134"/>
      <c r="C90" s="115"/>
      <c r="D90" s="137" t="s">
        <v>520</v>
      </c>
      <c r="E90" s="7"/>
    </row>
    <row r="91" spans="2:5" ht="35.25" customHeight="1" x14ac:dyDescent="0.2">
      <c r="B91" s="134"/>
      <c r="C91" s="115"/>
      <c r="D91" s="137" t="s">
        <v>521</v>
      </c>
      <c r="E91" s="7"/>
    </row>
    <row r="92" spans="2:5" ht="35.25" customHeight="1" x14ac:dyDescent="0.2">
      <c r="B92" s="134"/>
      <c r="C92" s="115"/>
      <c r="D92" s="137" t="s">
        <v>522</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523</v>
      </c>
      <c r="E100" s="7"/>
    </row>
    <row r="101" spans="2:5" ht="35.25" customHeight="1" x14ac:dyDescent="0.2">
      <c r="B101" s="134"/>
      <c r="C101" s="115"/>
      <c r="D101" s="137" t="s">
        <v>524</v>
      </c>
      <c r="E101" s="7"/>
    </row>
    <row r="102" spans="2:5" ht="35.25" customHeight="1" x14ac:dyDescent="0.2">
      <c r="B102" s="134"/>
      <c r="C102" s="115"/>
      <c r="D102" s="137" t="s">
        <v>525</v>
      </c>
      <c r="E102" s="7"/>
    </row>
    <row r="103" spans="2:5" ht="35.25" customHeight="1" x14ac:dyDescent="0.2">
      <c r="B103" s="134"/>
      <c r="C103" s="115"/>
      <c r="D103" s="137" t="s">
        <v>526</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519</v>
      </c>
      <c r="E111" s="27"/>
    </row>
    <row r="112" spans="2:5" s="5" customFormat="1" ht="35.25" customHeight="1" x14ac:dyDescent="0.2">
      <c r="B112" s="134"/>
      <c r="C112" s="115"/>
      <c r="D112" s="137" t="s">
        <v>520</v>
      </c>
      <c r="E112" s="27"/>
    </row>
    <row r="113" spans="2:5" s="5" customFormat="1" ht="35.25" customHeight="1" x14ac:dyDescent="0.2">
      <c r="B113" s="134"/>
      <c r="C113" s="115"/>
      <c r="D113" s="137" t="s">
        <v>521</v>
      </c>
      <c r="E113" s="27"/>
    </row>
    <row r="114" spans="2:5" s="5" customFormat="1" ht="35.25" customHeight="1" x14ac:dyDescent="0.2">
      <c r="B114" s="134"/>
      <c r="C114" s="115"/>
      <c r="D114" s="137" t="s">
        <v>522</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519</v>
      </c>
      <c r="E123" s="7"/>
    </row>
    <row r="124" spans="2:5" s="5" customFormat="1" ht="35.25" customHeight="1" x14ac:dyDescent="0.2">
      <c r="B124" s="134"/>
      <c r="C124" s="113"/>
      <c r="D124" s="137" t="s">
        <v>520</v>
      </c>
      <c r="E124" s="27"/>
    </row>
    <row r="125" spans="2:5" s="5" customFormat="1" ht="35.25" customHeight="1" x14ac:dyDescent="0.2">
      <c r="B125" s="134"/>
      <c r="C125" s="113"/>
      <c r="D125" s="137" t="s">
        <v>521</v>
      </c>
      <c r="E125" s="27"/>
    </row>
    <row r="126" spans="2:5" s="5" customFormat="1" ht="35.25" customHeight="1" x14ac:dyDescent="0.2">
      <c r="B126" s="134"/>
      <c r="C126" s="113"/>
      <c r="D126" s="137" t="s">
        <v>522</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519</v>
      </c>
      <c r="E134" s="27"/>
    </row>
    <row r="135" spans="2:5" s="5" customFormat="1" ht="35.25" customHeight="1" x14ac:dyDescent="0.2">
      <c r="B135" s="134"/>
      <c r="C135" s="113"/>
      <c r="D135" s="137" t="s">
        <v>520</v>
      </c>
      <c r="E135" s="27"/>
    </row>
    <row r="136" spans="2:5" s="5" customFormat="1" ht="35.25" customHeight="1" x14ac:dyDescent="0.2">
      <c r="B136" s="134"/>
      <c r="C136" s="113"/>
      <c r="D136" s="137" t="s">
        <v>521</v>
      </c>
      <c r="E136" s="27"/>
    </row>
    <row r="137" spans="2:5" s="5" customFormat="1" ht="35.25" customHeight="1" x14ac:dyDescent="0.2">
      <c r="B137" s="134"/>
      <c r="C137" s="113"/>
      <c r="D137" s="137" t="s">
        <v>522</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520</v>
      </c>
      <c r="E145" s="27"/>
    </row>
    <row r="146" spans="2:5" s="5" customFormat="1" ht="35.25" customHeight="1" x14ac:dyDescent="0.2">
      <c r="B146" s="134"/>
      <c r="C146" s="113"/>
      <c r="D146" s="137" t="s">
        <v>521</v>
      </c>
      <c r="E146" s="27"/>
    </row>
    <row r="147" spans="2:5" s="5" customFormat="1" ht="35.25" customHeight="1" x14ac:dyDescent="0.2">
      <c r="B147" s="134"/>
      <c r="C147" s="113"/>
      <c r="D147" s="137" t="s">
        <v>522</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520</v>
      </c>
      <c r="E167" s="27"/>
    </row>
    <row r="168" spans="2:5" s="5" customFormat="1" ht="35.25" customHeight="1" x14ac:dyDescent="0.2">
      <c r="B168" s="134"/>
      <c r="C168" s="113"/>
      <c r="D168" s="137" t="s">
        <v>521</v>
      </c>
      <c r="E168" s="27"/>
    </row>
    <row r="169" spans="2:5" s="5" customFormat="1" ht="35.25" customHeight="1" x14ac:dyDescent="0.2">
      <c r="B169" s="134"/>
      <c r="C169" s="113"/>
      <c r="D169" s="137" t="s">
        <v>522</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520</v>
      </c>
      <c r="E178" s="27"/>
    </row>
    <row r="179" spans="2:5" s="5" customFormat="1" ht="35.25" customHeight="1" x14ac:dyDescent="0.2">
      <c r="B179" s="134"/>
      <c r="C179" s="113"/>
      <c r="D179" s="137" t="s">
        <v>521</v>
      </c>
      <c r="E179" s="27"/>
    </row>
    <row r="180" spans="2:5" s="5" customFormat="1" ht="35.25" customHeight="1" x14ac:dyDescent="0.2">
      <c r="B180" s="134"/>
      <c r="C180" s="113"/>
      <c r="D180" s="137" t="s">
        <v>522</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519</v>
      </c>
      <c r="E200" s="27"/>
    </row>
    <row r="201" spans="2:5" s="5" customFormat="1" ht="35.25" customHeight="1" x14ac:dyDescent="0.2">
      <c r="B201" s="134"/>
      <c r="C201" s="113"/>
      <c r="D201" s="137" t="s">
        <v>520</v>
      </c>
      <c r="E201" s="27"/>
    </row>
    <row r="202" spans="2:5" s="5" customFormat="1" ht="35.25" customHeight="1" x14ac:dyDescent="0.2">
      <c r="B202" s="134"/>
      <c r="C202" s="113"/>
      <c r="D202" s="137" t="s">
        <v>521</v>
      </c>
      <c r="E202" s="27"/>
    </row>
    <row r="203" spans="2:5" s="5" customFormat="1" ht="35.25" customHeight="1" x14ac:dyDescent="0.2">
      <c r="B203" s="134"/>
      <c r="C203" s="113"/>
      <c r="D203" s="137" t="s">
        <v>522</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2016-07-28T11:48:54Z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