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AB39" i="10" s="1"/>
  <c r="Z46" i="10"/>
  <c r="Y46" i="10"/>
  <c r="X46" i="10"/>
  <c r="W46" i="10"/>
  <c r="V46" i="10"/>
  <c r="U46" i="10"/>
  <c r="T46" i="10"/>
  <c r="S46" i="10"/>
  <c r="R46" i="10"/>
  <c r="Q46" i="10"/>
  <c r="O45" i="10"/>
  <c r="N45" i="10"/>
  <c r="M45" i="10"/>
  <c r="AB42" i="10"/>
  <c r="X42" i="10"/>
  <c r="T42" i="10"/>
  <c r="P42" i="10"/>
  <c r="AB41" i="10"/>
  <c r="X41" i="10"/>
  <c r="T41" i="10"/>
  <c r="P41" i="10"/>
  <c r="K41" i="10"/>
  <c r="F41" i="10"/>
  <c r="P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R13" i="10" s="1"/>
  <c r="P15" i="10"/>
  <c r="O15" i="10"/>
  <c r="L15" i="10"/>
  <c r="AA13" i="10"/>
  <c r="Z13" i="10"/>
  <c r="Y13" i="10"/>
  <c r="W13" i="10"/>
  <c r="Q13" i="10"/>
  <c r="P12" i="10"/>
  <c r="P45" i="10" s="1"/>
  <c r="O12" i="10"/>
  <c r="N12" i="10"/>
  <c r="M12" i="10"/>
  <c r="K11" i="10"/>
  <c r="J11" i="10"/>
  <c r="F11" i="10"/>
  <c r="E11" i="10"/>
  <c r="L10" i="10"/>
  <c r="L7" i="10" s="1"/>
  <c r="K10" i="10"/>
  <c r="J10" i="10"/>
  <c r="G10" i="10"/>
  <c r="F10" i="10"/>
  <c r="E10" i="10"/>
  <c r="G9" i="10"/>
  <c r="F9" i="10"/>
  <c r="E9" i="10"/>
  <c r="G8" i="10"/>
  <c r="F8" i="10"/>
  <c r="E8" i="10"/>
  <c r="AB7" i="10"/>
  <c r="AA7" i="10"/>
  <c r="X7" i="10"/>
  <c r="W7" i="10"/>
  <c r="T7" i="10"/>
  <c r="S7" i="10"/>
  <c r="P7" i="10"/>
  <c r="O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AU54" i="18"/>
  <c r="AU12" i="4" s="1"/>
  <c r="AT54" i="18"/>
  <c r="AT12" i="4" s="1"/>
  <c r="AS54" i="18"/>
  <c r="AS12" i="4" s="1"/>
  <c r="AC54" i="18"/>
  <c r="AC12" i="4" s="1"/>
  <c r="AB54" i="18"/>
  <c r="AB12" i="4" s="1"/>
  <c r="AA54" i="18"/>
  <c r="AA12" i="4" s="1"/>
  <c r="Z54" i="18"/>
  <c r="Y54" i="18"/>
  <c r="X54" i="18"/>
  <c r="W54" i="18"/>
  <c r="V54" i="18"/>
  <c r="U54" i="18"/>
  <c r="T54" i="18"/>
  <c r="S54" i="18"/>
  <c r="R54" i="18"/>
  <c r="Q54" i="18"/>
  <c r="P54" i="18"/>
  <c r="O54" i="18"/>
  <c r="N54" i="18"/>
  <c r="M54" i="18"/>
  <c r="M12" i="4" s="1"/>
  <c r="L54" i="18"/>
  <c r="K54" i="18"/>
  <c r="K12" i="4" s="1"/>
  <c r="J54" i="18"/>
  <c r="I54" i="18"/>
  <c r="I12" i="4" s="1"/>
  <c r="H54" i="18"/>
  <c r="H12" i="4" s="1"/>
  <c r="G54" i="18"/>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D22" i="4"/>
  <c r="Z12" i="4"/>
  <c r="Y12" i="4"/>
  <c r="X12" i="4"/>
  <c r="W12" i="4"/>
  <c r="V12" i="4"/>
  <c r="U12" i="4"/>
  <c r="T12" i="4"/>
  <c r="S12" i="4"/>
  <c r="R12" i="4"/>
  <c r="Q12" i="4"/>
  <c r="P12" i="4"/>
  <c r="O12" i="4"/>
  <c r="N12" i="4"/>
  <c r="L12" i="4"/>
  <c r="J12" i="4"/>
  <c r="G12" i="4"/>
  <c r="F12" i="4"/>
  <c r="E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E15" i="10" s="1"/>
  <c r="D5" i="4"/>
  <c r="J15" i="10" l="1"/>
  <c r="G7" i="10"/>
  <c r="G19" i="10" s="1"/>
  <c r="G22" i="10" s="1"/>
  <c r="G27" i="10"/>
  <c r="K15" i="10"/>
  <c r="G32" i="10"/>
  <c r="F15" i="10"/>
  <c r="J7" i="10"/>
  <c r="E7" i="10"/>
  <c r="P47" i="10"/>
  <c r="P48" i="10" s="1"/>
  <c r="P51" i="10" s="1"/>
  <c r="P53" i="10" s="1"/>
  <c r="E11" i="16" s="1"/>
  <c r="G20" i="10"/>
  <c r="G24" i="10"/>
  <c r="L29" i="10"/>
  <c r="L33" i="10" s="1"/>
  <c r="L34" i="10" s="1"/>
  <c r="X39" i="10"/>
  <c r="T39" i="10"/>
  <c r="L21" i="10"/>
  <c r="L26" i="10" s="1"/>
  <c r="L25" i="10" s="1"/>
  <c r="L28" i="10" s="1"/>
  <c r="AB13" i="10"/>
  <c r="X13" i="10"/>
  <c r="T13" i="10"/>
  <c r="U13" i="10"/>
  <c r="S13" i="10"/>
  <c r="G23" i="10" l="1"/>
  <c r="G30" i="10"/>
  <c r="G31" i="10" s="1"/>
  <c r="G29" i="10" s="1"/>
  <c r="G33" i="10" s="1"/>
  <c r="G34" i="10" s="1"/>
  <c r="F7" i="10"/>
  <c r="C12" i="10"/>
  <c r="D12" i="10"/>
  <c r="E38" i="10"/>
  <c r="D17" i="10"/>
  <c r="D45" i="10" s="1"/>
  <c r="C17" i="10"/>
  <c r="E17" i="10"/>
  <c r="K7" i="10"/>
  <c r="H12" i="10" s="1"/>
  <c r="E12" i="10"/>
  <c r="F17" i="10"/>
  <c r="G21" i="10"/>
  <c r="G26" i="10" s="1"/>
  <c r="G25" i="10" s="1"/>
  <c r="G28" i="10" s="1"/>
  <c r="I17" i="10" l="1"/>
  <c r="F38" i="10"/>
  <c r="E45" i="10"/>
  <c r="J12" i="10"/>
  <c r="J17" i="10"/>
  <c r="H17" i="10"/>
  <c r="C45" i="10"/>
  <c r="F12" i="10"/>
  <c r="K17" i="10"/>
  <c r="I12" i="10"/>
  <c r="I45" i="10" s="1"/>
  <c r="J38" i="10"/>
  <c r="K38" i="10" l="1"/>
  <c r="J45" i="10"/>
  <c r="H45" i="10"/>
  <c r="K12" i="10"/>
  <c r="K45" i="10" s="1"/>
  <c r="F53" i="10"/>
  <c r="C11" i="16" s="1"/>
  <c r="F52" i="10"/>
  <c r="F45" i="10"/>
  <c r="F42" i="10"/>
  <c r="F39" i="10"/>
  <c r="K39" i="10" l="1"/>
  <c r="K42" i="10" s="1"/>
  <c r="K47" i="10" s="1"/>
  <c r="K48" i="10" s="1"/>
  <c r="K51" i="10" s="1"/>
  <c r="K53" i="10" s="1"/>
  <c r="D11" i="16" s="1"/>
  <c r="F47" i="10"/>
  <c r="F48" i="10"/>
  <c r="F51" i="10" s="1"/>
  <c r="K52" i="10"/>
</calcChain>
</file>

<file path=xl/sharedStrings.xml><?xml version="1.0" encoding="utf-8"?>
<sst xmlns="http://schemas.openxmlformats.org/spreadsheetml/2006/main" count="576" uniqueCount="515">
  <si>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</si>
  <si>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</si>
  <si>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</si>
  <si>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</si>
  <si>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</si>
  <si>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</si>
  <si>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</si>
  <si>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</si>
  <si>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</si>
  <si>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</si>
  <si>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</si>
  <si>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</si>
  <si>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</si>
  <si>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</si>
  <si>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</si>
  <si>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</si>
  <si>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</si>
  <si>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</si>
  <si>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</si>
  <si>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</si>
  <si>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</si>
  <si>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</si>
  <si>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</si>
  <si>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</si>
  <si>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</si>
  <si>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</si>
  <si>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</si>
  <si>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</si>
  <si>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</si>
  <si>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</si>
  <si>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</si>
  <si>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</si>
  <si>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</si>
  <si>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</si>
  <si>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</si>
  <si>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</si>
  <si>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</si>
  <si>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</si>
  <si>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</si>
  <si>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</si>
  <si>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</si>
  <si>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</si>
  <si>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</si>
  <si>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</si>
  <si>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</si>
  <si>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</si>
  <si>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</si>
  <si>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</si>
  <si>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</si>
  <si>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</si>
  <si>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</si>
  <si>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</si>
  <si>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</si>
  <si>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</si>
  <si>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</si>
  <si>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</si>
  <si>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</si>
  <si>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</si>
  <si>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</si>
  <si>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</si>
  <si>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</si>
  <si>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</si>
  <si>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</si>
  <si>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</si>
  <si>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</si>
  <si>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</si>
  <si>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</si>
  <si>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</si>
  <si>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</si>
  <si>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</si>
  <si>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</si>
  <si>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</si>
  <si>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</si>
  <si>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</si>
  <si>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</si>
  <si>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</si>
  <si>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</si>
  <si>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</si>
  <si>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</si>
  <si>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</si>
  <si>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</si>
  <si>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</si>
  <si>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</si>
  <si>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</si>
  <si>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</si>
  <si>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</si>
  <si>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</si>
  <si>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</si>
  <si>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</si>
  <si>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</si>
  <si>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</si>
  <si>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</si>
  <si>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</si>
  <si>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</si>
  <si>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</si>
  <si>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</si>
  <si>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</si>
  <si>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</si>
  <si>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</si>
  <si>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</si>
  <si>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</si>
  <si>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</si>
  <si>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</si>
  <si>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</si>
  <si>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</si>
  <si>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</si>
  <si>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</si>
  <si>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</si>
  <si>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</si>
  <si>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</si>
  <si>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</si>
  <si>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</si>
  <si>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</si>
  <si>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</si>
  <si>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</si>
  <si>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</si>
  <si>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</si>
  <si>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</si>
  <si>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</si>
  <si>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</si>
  <si>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</si>
  <si>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</si>
  <si>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</si>
  <si>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</si>
  <si>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</si>
  <si>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</si>
  <si>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</si>
  <si>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</si>
  <si>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</si>
  <si>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</si>
  <si>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</si>
  <si>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</si>
  <si>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</si>
  <si>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</si>
  <si>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</si>
  <si>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</si>
  <si>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</si>
  <si>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</si>
  <si>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</si>
  <si>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</si>
  <si>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</si>
  <si>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</si>
  <si>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</si>
  <si>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</si>
  <si>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</si>
  <si>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</si>
  <si>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</si>
  <si>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</si>
  <si>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</si>
  <si>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</si>
  <si>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</si>
  <si>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</si>
  <si>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</si>
  <si>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</si>
  <si>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</si>
  <si>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</si>
  <si>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</si>
  <si>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</si>
  <si>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</si>
  <si>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</si>
  <si>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</si>
  <si>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</si>
  <si>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</si>
  <si>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</si>
  <si>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</si>
  <si>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</si>
  <si>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</si>
  <si>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</si>
  <si>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</si>
  <si>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</si>
  <si>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</si>
  <si>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</si>
  <si>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</si>
  <si>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</si>
  <si>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</si>
  <si>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</si>
  <si>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</si>
  <si>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</si>
  <si>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</si>
  <si>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</si>
  <si>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</si>
  <si>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</si>
  <si>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</si>
  <si>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</si>
  <si>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</si>
  <si>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</si>
  <si>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</si>
  <si>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</si>
  <si>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</si>
  <si>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</si>
  <si>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</si>
  <si>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</si>
  <si>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</si>
  <si>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</si>
  <si>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</si>
  <si>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</si>
  <si>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</si>
  <si>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</si>
  <si>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</si>
  <si>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</si>
  <si>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</si>
  <si>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</si>
  <si>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</si>
  <si>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</si>
  <si>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</si>
  <si>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</si>
  <si>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</si>
  <si>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</si>
  <si>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</si>
  <si>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</si>
  <si>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</si>
  <si>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</si>
  <si>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</si>
  <si>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</si>
  <si>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</si>
  <si>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</si>
  <si>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</si>
  <si>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</si>
  <si>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</si>
  <si>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</si>
  <si>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</si>
  <si>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</si>
  <si>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</si>
  <si>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</si>
  <si>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</si>
  <si>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</si>
  <si>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</si>
  <si>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</si>
  <si>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</si>
  <si>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</si>
  <si>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</si>
  <si>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</si>
  <si>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</si>
  <si>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</si>
  <si>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</si>
  <si>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</si>
  <si>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</si>
  <si>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</si>
  <si>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</si>
  <si>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</si>
  <si>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</si>
  <si>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</si>
  <si>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</si>
  <si>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</si>
  <si>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</si>
  <si>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</si>
  <si>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</si>
  <si>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</si>
  <si>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</si>
  <si>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</si>
  <si>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</si>
  <si>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</si>
  <si>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</si>
  <si>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</si>
  <si>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</si>
  <si>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</si>
  <si>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</si>
  <si>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</si>
  <si>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</si>
  <si>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</si>
  <si>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</si>
  <si>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</si>
  <si>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</si>
  <si>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</si>
  <si>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</si>
  <si>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</si>
  <si>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</si>
  <si>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</si>
  <si>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</si>
  <si>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</si>
  <si>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</si>
  <si>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</si>
  <si>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</si>
  <si>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</si>
  <si>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</si>
  <si>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</si>
  <si>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</si>
  <si>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</si>
  <si>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</si>
  <si>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</si>
  <si>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</si>
  <si>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</si>
  <si>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</si>
  <si>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</si>
  <si>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</si>
  <si>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</si>
  <si>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</si>
  <si>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</si>
  <si>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</si>
  <si>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</si>
  <si>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</si>
  <si>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</si>
  <si>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</si>
  <si>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</si>
  <si>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</si>
  <si>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</si>
  <si>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</si>
  <si>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</si>
  <si>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</si>
  <si>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</si>
  <si>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</si>
  <si>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</si>
  <si>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</si>
  <si>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</si>
  <si>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</si>
  <si>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</si>
  <si>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</si>
  <si>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</si>
  <si>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</si>
  <si>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</si>
  <si>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</si>
  <si>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</si>
  <si>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</si>
  <si>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</si>
  <si>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</si>
  <si>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</si>
  <si>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</si>
  <si>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</si>
  <si>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</si>
  <si>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</si>
  <si>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</si>
  <si>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</si>
  <si>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</si>
  <si>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</si>
  <si>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</si>
  <si>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</si>
  <si>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</si>
  <si>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</si>
  <si>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</si>
  <si>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</si>
  <si>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</si>
  <si>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</si>
  <si>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</si>
  <si>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</si>
  <si>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</si>
  <si>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</si>
  <si>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</si>
  <si>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</si>
  <si>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</si>
  <si>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</si>
  <si>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</si>
  <si>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</si>
  <si>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</si>
  <si>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</si>
  <si>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</si>
  <si>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</si>
  <si>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</si>
  <si>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</si>
  <si>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</si>
  <si>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</si>
  <si>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</si>
  <si>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</si>
  <si>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</si>
  <si>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</si>
  <si>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</si>
  <si>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</si>
  <si>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</si>
  <si>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</si>
  <si>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</si>
  <si>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</si>
  <si>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</si>
  <si>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</si>
  <si>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</si>
  <si>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</si>
  <si>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</si>
  <si>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</si>
  <si>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</si>
  <si>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</si>
  <si>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</si>
  <si>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</si>
  <si>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</si>
  <si>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</si>
  <si>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</si>
  <si>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</si>
  <si>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</si>
  <si>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</si>
  <si>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</si>
  <si>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</si>
  <si>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</si>
  <si>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</si>
  <si>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</si>
  <si>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</si>
  <si>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</si>
  <si>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</si>
  <si>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</si>
  <si>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</si>
  <si>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</si>
  <si>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</si>
  <si>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</si>
  <si>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</si>
  <si>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</si>
  <si>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</si>
  <si>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</si>
  <si>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</si>
  <si>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</si>
  <si>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</si>
  <si>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</si>
  <si>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</si>
  <si>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</si>
  <si>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</si>
  <si>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</si>
  <si>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</si>
  <si>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</si>
  <si>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</si>
  <si>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</si>
  <si>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</si>
  <si>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</si>
  <si>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</si>
  <si>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</si>
  <si>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</si>
  <si>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</si>
  <si>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</si>
  <si>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</si>
  <si>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</si>
  <si>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</si>
  <si>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</si>
  <si>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</si>
  <si>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</si>
  <si>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</si>
  <si>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</si>
  <si>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</si>
  <si>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</si>
  <si>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</si>
  <si>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</si>
  <si>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</si>
  <si>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</si>
  <si>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</si>
  <si>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</si>
  <si>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</si>
  <si>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</si>
  <si>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</si>
  <si>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</si>
  <si>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</si>
  <si>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</si>
  <si>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</si>
  <si>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</si>
  <si>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</si>
  <si>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</si>
  <si>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</si>
  <si>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</si>
  <si>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</si>
  <si>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</si>
  <si>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</si>
  <si>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</si>
  <si>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</si>
  <si>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</si>
  <si>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</si>
  <si>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</si>
  <si>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</si>
  <si>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</si>
  <si>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</si>
  <si>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</si>
  <si>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</si>
  <si>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</si>
  <si>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</si>
  <si>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</si>
  <si>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</si>
  <si>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</si>
  <si>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</si>
  <si>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</si>
  <si>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</si>
  <si>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</si>
  <si>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</si>
  <si>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</si>
  <si>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</si>
  <si>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</si>
  <si>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</si>
  <si>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</si>
  <si>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</si>
  <si>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</si>
  <si>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</si>
  <si>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</si>
  <si>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</si>
  <si>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</si>
  <si>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</si>
  <si>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</si>
  <si>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</si>
  <si>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</si>
  <si>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</si>
  <si>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</si>
  <si>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</si>
  <si>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</si>
  <si>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</si>
  <si>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</si>
  <si>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</si>
  <si>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</si>
  <si>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</si>
  <si>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</si>
  <si>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</si>
  <si>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</si>
  <si>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</si>
  <si>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</si>
  <si>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</si>
  <si>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</si>
  <si>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</si>
  <si>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</si>
  <si>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of Puerto Rico, Inc.</t>
  </si>
  <si>
    <t>HUMANA GRP</t>
  </si>
  <si>
    <t>Humana</t>
  </si>
  <si>
    <t>119</t>
  </si>
  <si>
    <t>2015</t>
  </si>
  <si>
    <t>383 FD Roosevelt Ave San Juan, PR 00918-2131</t>
  </si>
  <si>
    <t>660291866</t>
  </si>
  <si>
    <t>084603</t>
  </si>
  <si>
    <t>84603</t>
  </si>
  <si>
    <t>19728</t>
  </si>
  <si>
    <t>491</t>
  </si>
  <si>
    <t>Humana Insurance Company</t>
  </si>
  <si>
    <t>Humana Health Plan of Ohio, Inc.</t>
  </si>
  <si>
    <t>Humana Medical Plan, Inc.</t>
  </si>
  <si>
    <t>Humana Health Plan, Inc.</t>
  </si>
  <si>
    <t>Humana Health Plan of Texas, Inc.</t>
  </si>
  <si>
    <t>Humana Health Benefit Plan of Louisiana,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</si>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</sst>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181</v>
      </c>
    </row>
    <row r="13" spans="1:6" x14ac:dyDescent="0.2">
      <c r="B13" s="147" t="s">
        <v>50</v>
      </c>
      <c r="C13" s="480" t="s">
        <v>181</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13519</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21323713</v>
      </c>
      <c r="K5" s="213">
        <f>SUM('Pt 2 Premium and Claims'!K$5,'Pt 2 Premium and Claims'!K$6,-'Pt 2 Premium and Claims'!K$7,-'Pt 2 Premium and Claims'!K$13,'Pt 2 Premium and Claims'!K$14,'Pt 2 Premium and Claims'!K$16:'Pt 2 Premium and Claims'!K$17)</f>
        <v>15549800.663469501</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56967905</v>
      </c>
      <c r="Q5" s="213">
        <f>SUM('Pt 2 Premium and Claims'!Q$5,'Pt 2 Premium and Claims'!Q$6,-'Pt 2 Premium and Claims'!Q$7,-'Pt 2 Premium and Claims'!Q$13,'Pt 2 Premium and Claims'!Q$14)</f>
        <v>63007962.046529703</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2500883</v>
      </c>
      <c r="AU5" s="214">
        <f>SUM('Pt 2 Premium and Claims'!AU$5,'Pt 2 Premium and Claims'!AU$6,-'Pt 2 Premium and Claims'!AU$7,-'Pt 2 Premium and Claims'!AU$13,'Pt 2 Premium and Claims'!AU$14)</f>
        <v>15913531</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-80061</v>
      </c>
      <c r="K8" s="268"/>
      <c r="L8" s="269"/>
      <c r="M8" s="269"/>
      <c r="N8" s="269"/>
      <c r="O8" s="272"/>
      <c r="P8" s="216">
        <v>-216401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-74</v>
      </c>
      <c r="E12" s="213">
        <f>'Pt 2 Premium and Claims'!E$54</f>
        <v>1.05</v>
      </c>
      <c r="F12" s="213">
        <f>'Pt 2 Premium and Claims'!F$54</f>
        <v>0</v>
      </c>
      <c r="G12" s="213">
        <f>'Pt 2 Premium and Claims'!G$54</f>
        <v>0</v>
      </c>
      <c r="H12" s="213">
        <f>'Pt 2 Premium and Claims'!H$54</f>
        <v>0</v>
      </c>
      <c r="I12" s="212">
        <f>'Pt 2 Premium and Claims'!I$54</f>
        <v>0</v>
      </c>
      <c r="J12" s="212">
        <f>'Pt 2 Premium and Claims'!J$54</f>
        <v>15133928</v>
      </c>
      <c r="K12" s="213">
        <f>'Pt 2 Premium and Claims'!K$54</f>
        <v>11737787.705788676</v>
      </c>
      <c r="L12" s="213">
        <f>'Pt 2 Premium and Claims'!L$54</f>
        <v>0</v>
      </c>
      <c r="M12" s="213">
        <f>'Pt 2 Premium and Claims'!M$54</f>
        <v>0</v>
      </c>
      <c r="N12" s="213">
        <f>'Pt 2 Premium and Claims'!N$54</f>
        <v>0</v>
      </c>
      <c r="O12" s="212">
        <f>'Pt 2 Premium and Claims'!O$54</f>
        <v>0</v>
      </c>
      <c r="P12" s="212">
        <f>'Pt 2 Premium and Claims'!P$54</f>
        <v>45456028</v>
      </c>
      <c r="Q12" s="213">
        <f>'Pt 2 Premium and Claims'!Q$54</f>
        <v>50392156.985565357</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1754576</v>
      </c>
      <c r="AU12" s="214">
        <f>'Pt 2 Premium and Claims'!AU$54</f>
        <v>12820308</v>
      </c>
      <c r="AV12" s="291"/>
      <c r="AW12" s="296"/>
    </row>
    <row r="13" spans="1:49" ht="25.5" x14ac:dyDescent="0.2">
      <c r="B13" s="239" t="s">
        <v>230</v>
      </c>
      <c r="C13" s="203" t="s">
        <v>37</v>
      </c>
      <c r="D13" s="216">
        <v>0</v>
      </c>
      <c r="E13" s="217">
        <v>0</v>
      </c>
      <c r="F13" s="217"/>
      <c r="G13" s="268"/>
      <c r="H13" s="269"/>
      <c r="I13" s="216"/>
      <c r="J13" s="216">
        <v>4803751</v>
      </c>
      <c r="K13" s="217">
        <v>3768749.3984177397</v>
      </c>
      <c r="L13" s="217"/>
      <c r="M13" s="268"/>
      <c r="N13" s="269"/>
      <c r="O13" s="216"/>
      <c r="P13" s="216">
        <v>13511562</v>
      </c>
      <c r="Q13" s="217">
        <v>15345886.219384152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32590</v>
      </c>
      <c r="AU13" s="220">
        <v>6810912</v>
      </c>
      <c r="AV13" s="290"/>
      <c r="AW13" s="297"/>
    </row>
    <row r="14" spans="1:49" ht="25.5" x14ac:dyDescent="0.2">
      <c r="B14" s="239" t="s">
        <v>231</v>
      </c>
      <c r="C14" s="203" t="s">
        <v>6</v>
      </c>
      <c r="D14" s="216">
        <v>-48</v>
      </c>
      <c r="E14" s="217">
        <v>0</v>
      </c>
      <c r="F14" s="217"/>
      <c r="G14" s="267"/>
      <c r="H14" s="270"/>
      <c r="I14" s="216"/>
      <c r="J14" s="216">
        <v>404426</v>
      </c>
      <c r="K14" s="217">
        <v>315599.88849597832</v>
      </c>
      <c r="L14" s="217"/>
      <c r="M14" s="267"/>
      <c r="N14" s="270"/>
      <c r="O14" s="216"/>
      <c r="P14" s="216">
        <v>1093384</v>
      </c>
      <c r="Q14" s="217">
        <v>1188922.7862820553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6106</v>
      </c>
      <c r="AU14" s="220">
        <v>2162896</v>
      </c>
      <c r="AV14" s="290"/>
      <c r="AW14" s="297"/>
    </row>
    <row r="15" spans="1:49" ht="38.25" x14ac:dyDescent="0.2">
      <c r="B15" s="239" t="s">
        <v>232</v>
      </c>
      <c r="C15" s="203" t="s">
        <v>7</v>
      </c>
      <c r="D15" s="216">
        <v>0</v>
      </c>
      <c r="E15" s="217">
        <v>0.16</v>
      </c>
      <c r="F15" s="217"/>
      <c r="G15" s="267"/>
      <c r="H15" s="273"/>
      <c r="I15" s="216"/>
      <c r="J15" s="216">
        <v>252</v>
      </c>
      <c r="K15" s="217">
        <v>181.30678069929544</v>
      </c>
      <c r="L15" s="217"/>
      <c r="M15" s="267"/>
      <c r="N15" s="273"/>
      <c r="O15" s="216"/>
      <c r="P15" s="216">
        <v>716</v>
      </c>
      <c r="Q15" s="217">
        <v>787.01321930070458</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30</v>
      </c>
      <c r="AU15" s="220">
        <v>212</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-161</v>
      </c>
      <c r="AV16" s="290"/>
      <c r="AW16" s="297"/>
    </row>
    <row r="17" spans="1:49" x14ac:dyDescent="0.2">
      <c r="B17" s="239" t="s">
        <v>234</v>
      </c>
      <c r="C17" s="203" t="s">
        <v>62</v>
      </c>
      <c r="D17" s="216">
        <v>0</v>
      </c>
      <c r="E17" s="267"/>
      <c r="F17" s="270"/>
      <c r="G17" s="270"/>
      <c r="H17" s="270"/>
      <c r="I17" s="271"/>
      <c r="J17" s="216">
        <v>-2863106</v>
      </c>
      <c r="K17" s="267"/>
      <c r="L17" s="270"/>
      <c r="M17" s="270"/>
      <c r="N17" s="270"/>
      <c r="O17" s="271"/>
      <c r="P17" s="216">
        <v>1791280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-180000</v>
      </c>
      <c r="AU17" s="220">
        <v>-1332370</v>
      </c>
      <c r="AV17" s="290"/>
      <c r="AW17" s="297"/>
    </row>
    <row r="18" spans="1:49" x14ac:dyDescent="0.2">
      <c r="B18" s="239" t="s">
        <v>235</v>
      </c>
      <c r="C18" s="203" t="s">
        <v>63</v>
      </c>
      <c r="D18" s="216">
        <v>0</v>
      </c>
      <c r="E18" s="267"/>
      <c r="F18" s="270"/>
      <c r="G18" s="270"/>
      <c r="H18" s="273"/>
      <c r="I18" s="271"/>
      <c r="J18" s="216">
        <v>1221956</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1809672</v>
      </c>
      <c r="K19" s="267"/>
      <c r="L19" s="270"/>
      <c r="M19" s="270"/>
      <c r="N19" s="270"/>
      <c r="O19" s="271"/>
      <c r="P19" s="216">
        <v>1791289</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974822</v>
      </c>
      <c r="K20" s="267"/>
      <c r="L20" s="270"/>
      <c r="M20" s="270"/>
      <c r="N20" s="270"/>
      <c r="O20" s="271"/>
      <c r="P20" s="216">
        <v>11</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1332370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v>16761.732593924964</v>
      </c>
      <c r="L25" s="217"/>
      <c r="M25" s="217"/>
      <c r="N25" s="217"/>
      <c r="O25" s="216"/>
      <c r="P25" s="216"/>
      <c r="Q25" s="217">
        <v>-16770.736903271983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348.55</v>
      </c>
      <c r="E26" s="217">
        <v>348.55</v>
      </c>
      <c r="F26" s="217"/>
      <c r="G26" s="217"/>
      <c r="H26" s="217"/>
      <c r="I26" s="216"/>
      <c r="J26" s="216">
        <v>23721.119999999999</v>
      </c>
      <c r="K26" s="217">
        <v>17729.031349336587</v>
      </c>
      <c r="L26" s="217"/>
      <c r="M26" s="217"/>
      <c r="N26" s="217"/>
      <c r="O26" s="216"/>
      <c r="P26" s="216">
        <v>69338.100000000006</v>
      </c>
      <c r="Q26" s="217">
        <v>75330.188650663418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227.02</v>
      </c>
      <c r="E27" s="217">
        <v>227.02</v>
      </c>
      <c r="F27" s="217"/>
      <c r="G27" s="217"/>
      <c r="H27" s="217"/>
      <c r="I27" s="216"/>
      <c r="J27" s="216">
        <v>351270.14</v>
      </c>
      <c r="K27" s="217">
        <v>252798.04270168435</v>
      </c>
      <c r="L27" s="217"/>
      <c r="M27" s="217"/>
      <c r="N27" s="217"/>
      <c r="O27" s="216"/>
      <c r="P27" s="216">
        <v>984150.22</v>
      </c>
      <c r="Q27" s="217">
        <v>1082622.3172983157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32564.55</v>
      </c>
      <c r="AU27" s="220">
        <v>292445.53999999998</v>
      </c>
      <c r="AV27" s="293"/>
      <c r="AW27" s="297"/>
    </row>
    <row r="28" spans="1:49" s="5" customFormat="1" x14ac:dyDescent="0.2">
      <c r="A28" s="35"/>
      <c r="B28" s="242" t="s">
        <v>244</v>
      </c>
      <c r="C28" s="203"/>
      <c r="D28" s="216">
        <v>5.79</v>
      </c>
      <c r="E28" s="217">
        <v>5.79</v>
      </c>
      <c r="F28" s="217"/>
      <c r="G28" s="217"/>
      <c r="H28" s="217"/>
      <c r="I28" s="216"/>
      <c r="J28" s="216">
        <v>90293.99</v>
      </c>
      <c r="K28" s="217">
        <v>65900.089404759419</v>
      </c>
      <c r="L28" s="217"/>
      <c r="M28" s="217"/>
      <c r="N28" s="217"/>
      <c r="O28" s="216"/>
      <c r="P28" s="216">
        <v>253011.72</v>
      </c>
      <c r="Q28" s="217">
        <v>277405.62059524056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11513.98</v>
      </c>
      <c r="AU28" s="220">
        <v>99008.87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0.61</v>
      </c>
      <c r="E30" s="217">
        <v>0.61</v>
      </c>
      <c r="F30" s="217"/>
      <c r="G30" s="217"/>
      <c r="H30" s="217"/>
      <c r="I30" s="216"/>
      <c r="J30" s="216">
        <v>10964.52</v>
      </c>
      <c r="K30" s="217">
        <v>8001.9980905606008</v>
      </c>
      <c r="L30" s="217"/>
      <c r="M30" s="217"/>
      <c r="N30" s="217"/>
      <c r="O30" s="216"/>
      <c r="P30" s="216">
        <v>30727.22</v>
      </c>
      <c r="Q30" s="217">
        <v>33689.741909439399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1323.44</v>
      </c>
      <c r="AU30" s="220">
        <v>12220.9</v>
      </c>
      <c r="AV30" s="220"/>
      <c r="AW30" s="297"/>
    </row>
    <row r="31" spans="1:49" x14ac:dyDescent="0.2">
      <c r="B31" s="242" t="s">
        <v>247</v>
      </c>
      <c r="C31" s="203"/>
      <c r="D31" s="216">
        <v>176.47</v>
      </c>
      <c r="E31" s="217">
        <v>176.47</v>
      </c>
      <c r="F31" s="217"/>
      <c r="G31" s="217"/>
      <c r="H31" s="217"/>
      <c r="I31" s="216"/>
      <c r="J31" s="216">
        <v>392113.29</v>
      </c>
      <c r="K31" s="217">
        <v>283018.22918665875</v>
      </c>
      <c r="L31" s="217"/>
      <c r="M31" s="217"/>
      <c r="N31" s="217"/>
      <c r="O31" s="216"/>
      <c r="P31" s="216">
        <v>1093055.18</v>
      </c>
      <c r="Q31" s="217">
        <v>1202150.2408133412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48921.05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1.93</v>
      </c>
      <c r="E35" s="217">
        <v>1.93</v>
      </c>
      <c r="F35" s="217"/>
      <c r="G35" s="217"/>
      <c r="H35" s="217"/>
      <c r="I35" s="216"/>
      <c r="J35" s="216">
        <v>31314.06</v>
      </c>
      <c r="K35" s="217">
        <v>22410.939783162994</v>
      </c>
      <c r="L35" s="217"/>
      <c r="M35" s="217"/>
      <c r="N35" s="217"/>
      <c r="O35" s="216"/>
      <c r="P35" s="216">
        <v>84679.33</v>
      </c>
      <c r="Q35" s="217">
        <v>93582.450216837009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3529.15</v>
      </c>
      <c r="AU35" s="220">
        <v>30188.799999999999</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167</v>
      </c>
      <c r="E37" s="225">
        <v>167.44</v>
      </c>
      <c r="F37" s="225"/>
      <c r="G37" s="225"/>
      <c r="H37" s="225"/>
      <c r="I37" s="224"/>
      <c r="J37" s="224">
        <v>181599</v>
      </c>
      <c r="K37" s="225">
        <v>132616.95597005609</v>
      </c>
      <c r="L37" s="225"/>
      <c r="M37" s="225"/>
      <c r="N37" s="225"/>
      <c r="O37" s="224"/>
      <c r="P37" s="224">
        <v>514841</v>
      </c>
      <c r="Q37" s="225">
        <v>563822.90402994386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23465</v>
      </c>
      <c r="AU37" s="226">
        <v>260123</v>
      </c>
      <c r="AV37" s="226">
        <v>50518</v>
      </c>
      <c r="AW37" s="296"/>
    </row>
    <row r="38" spans="1:49" x14ac:dyDescent="0.2">
      <c r="B38" s="239" t="s">
        <v>254</v>
      </c>
      <c r="C38" s="203" t="s">
        <v>16</v>
      </c>
      <c r="D38" s="216">
        <v>61</v>
      </c>
      <c r="E38" s="217">
        <v>60.7</v>
      </c>
      <c r="F38" s="217"/>
      <c r="G38" s="217"/>
      <c r="H38" s="217"/>
      <c r="I38" s="216"/>
      <c r="J38" s="216">
        <v>62089</v>
      </c>
      <c r="K38" s="217">
        <v>45300.750753054046</v>
      </c>
      <c r="L38" s="217"/>
      <c r="M38" s="217"/>
      <c r="N38" s="217"/>
      <c r="O38" s="216"/>
      <c r="P38" s="216">
        <v>174127</v>
      </c>
      <c r="Q38" s="217">
        <v>190915.20924694595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8398</v>
      </c>
      <c r="AU38" s="220">
        <v>142040</v>
      </c>
      <c r="AV38" s="220">
        <v>11076</v>
      </c>
      <c r="AW38" s="297"/>
    </row>
    <row r="39" spans="1:49" x14ac:dyDescent="0.2">
      <c r="B39" s="242" t="s">
        <v>255</v>
      </c>
      <c r="C39" s="203" t="s">
        <v>17</v>
      </c>
      <c r="D39" s="216">
        <v>11</v>
      </c>
      <c r="E39" s="217">
        <v>11.21</v>
      </c>
      <c r="F39" s="217"/>
      <c r="G39" s="217"/>
      <c r="H39" s="217"/>
      <c r="I39" s="216"/>
      <c r="J39" s="216">
        <v>80566</v>
      </c>
      <c r="K39" s="217">
        <v>58744.667661708765</v>
      </c>
      <c r="L39" s="217"/>
      <c r="M39" s="217"/>
      <c r="N39" s="217"/>
      <c r="O39" s="216"/>
      <c r="P39" s="216">
        <v>225653</v>
      </c>
      <c r="Q39" s="217">
        <v>247473.88233829124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9800</v>
      </c>
      <c r="AU39" s="220">
        <v>172543</v>
      </c>
      <c r="AV39" s="220">
        <v>12350</v>
      </c>
      <c r="AW39" s="297"/>
    </row>
    <row r="40" spans="1:49" x14ac:dyDescent="0.2">
      <c r="B40" s="242" t="s">
        <v>256</v>
      </c>
      <c r="C40" s="203" t="s">
        <v>38</v>
      </c>
      <c r="D40" s="216">
        <v>175</v>
      </c>
      <c r="E40" s="217">
        <v>174.51</v>
      </c>
      <c r="F40" s="217"/>
      <c r="G40" s="217"/>
      <c r="H40" s="217"/>
      <c r="I40" s="216"/>
      <c r="J40" s="216">
        <v>145065</v>
      </c>
      <c r="K40" s="217">
        <v>108272.39806913225</v>
      </c>
      <c r="L40" s="217"/>
      <c r="M40" s="217"/>
      <c r="N40" s="217"/>
      <c r="O40" s="216"/>
      <c r="P40" s="216">
        <v>428603</v>
      </c>
      <c r="Q40" s="217">
        <v>465394.77193086775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14035</v>
      </c>
      <c r="AU40" s="220">
        <v>146417</v>
      </c>
      <c r="AV40" s="220">
        <v>41763</v>
      </c>
      <c r="AW40" s="297"/>
    </row>
    <row r="41" spans="1:49" s="5" customFormat="1" ht="25.5" x14ac:dyDescent="0.2">
      <c r="A41" s="35"/>
      <c r="B41" s="242" t="s">
        <v>257</v>
      </c>
      <c r="C41" s="203" t="s">
        <v>129</v>
      </c>
      <c r="D41" s="216">
        <v>0</v>
      </c>
      <c r="E41" s="217"/>
      <c r="F41" s="217"/>
      <c r="G41" s="217"/>
      <c r="H41" s="217"/>
      <c r="I41" s="216"/>
      <c r="J41" s="216">
        <v>515</v>
      </c>
      <c r="K41" s="217">
        <v>376.61465866911584</v>
      </c>
      <c r="L41" s="217"/>
      <c r="M41" s="217"/>
      <c r="N41" s="217"/>
      <c r="O41" s="216"/>
      <c r="P41" s="216">
        <v>1449</v>
      </c>
      <c r="Q41" s="217">
        <v>1587.2453413308842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42</v>
      </c>
      <c r="AU41" s="220">
        <v>132</v>
      </c>
      <c r="AV41" s="220">
        <v>431</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25</v>
      </c>
      <c r="E44" s="225">
        <v>25.35</v>
      </c>
      <c r="F44" s="225"/>
      <c r="G44" s="225"/>
      <c r="H44" s="225"/>
      <c r="I44" s="224"/>
      <c r="J44" s="224">
        <v>150291</v>
      </c>
      <c r="K44" s="225">
        <v>109587.0881425541</v>
      </c>
      <c r="L44" s="225"/>
      <c r="M44" s="225"/>
      <c r="N44" s="225"/>
      <c r="O44" s="224"/>
      <c r="P44" s="224">
        <v>420924</v>
      </c>
      <c r="Q44" s="225">
        <v>461627.77185744588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19688</v>
      </c>
      <c r="AU44" s="226">
        <v>272775</v>
      </c>
      <c r="AV44" s="226">
        <v>44031</v>
      </c>
      <c r="AW44" s="296"/>
    </row>
    <row r="45" spans="1:49" x14ac:dyDescent="0.2">
      <c r="B45" s="245" t="s">
        <v>261</v>
      </c>
      <c r="C45" s="203" t="s">
        <v>19</v>
      </c>
      <c r="D45" s="216">
        <v>-1</v>
      </c>
      <c r="E45" s="217">
        <v>-1.4</v>
      </c>
      <c r="F45" s="217"/>
      <c r="G45" s="217"/>
      <c r="H45" s="217"/>
      <c r="I45" s="216"/>
      <c r="J45" s="216">
        <v>79386</v>
      </c>
      <c r="K45" s="217">
        <v>57610.82410561623</v>
      </c>
      <c r="L45" s="217"/>
      <c r="M45" s="217"/>
      <c r="N45" s="217"/>
      <c r="O45" s="216"/>
      <c r="P45" s="216">
        <v>221091</v>
      </c>
      <c r="Q45" s="217">
        <v>242866.07589438377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15563</v>
      </c>
      <c r="AU45" s="220">
        <v>142302</v>
      </c>
      <c r="AV45" s="220">
        <v>45484</v>
      </c>
      <c r="AW45" s="297"/>
    </row>
    <row r="46" spans="1:49" x14ac:dyDescent="0.2">
      <c r="B46" s="245" t="s">
        <v>262</v>
      </c>
      <c r="C46" s="203" t="s">
        <v>20</v>
      </c>
      <c r="D46" s="216">
        <v>0</v>
      </c>
      <c r="E46" s="217">
        <v>-0.11</v>
      </c>
      <c r="F46" s="217"/>
      <c r="G46" s="217"/>
      <c r="H46" s="217"/>
      <c r="I46" s="216"/>
      <c r="J46" s="216">
        <v>295114</v>
      </c>
      <c r="K46" s="217">
        <v>215031.87473027143</v>
      </c>
      <c r="L46" s="217"/>
      <c r="M46" s="217"/>
      <c r="N46" s="217"/>
      <c r="O46" s="216"/>
      <c r="P46" s="216">
        <v>823765</v>
      </c>
      <c r="Q46" s="217">
        <v>903846.93526972854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42729</v>
      </c>
      <c r="AU46" s="220">
        <v>835644</v>
      </c>
      <c r="AV46" s="220">
        <v>37398</v>
      </c>
      <c r="AW46" s="297"/>
    </row>
    <row r="47" spans="1:49" x14ac:dyDescent="0.2">
      <c r="B47" s="245" t="s">
        <v>263</v>
      </c>
      <c r="C47" s="203" t="s">
        <v>21</v>
      </c>
      <c r="D47" s="216">
        <v>2</v>
      </c>
      <c r="E47" s="217">
        <v>2.14</v>
      </c>
      <c r="F47" s="217"/>
      <c r="G47" s="217"/>
      <c r="H47" s="217"/>
      <c r="I47" s="216"/>
      <c r="J47" s="216">
        <v>1038204</v>
      </c>
      <c r="K47" s="217">
        <v>816194.45922939095</v>
      </c>
      <c r="L47" s="217"/>
      <c r="M47" s="217"/>
      <c r="N47" s="217"/>
      <c r="O47" s="216"/>
      <c r="P47" s="216">
        <v>3311231</v>
      </c>
      <c r="Q47" s="217">
        <v>3533240.2707706089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4282</v>
      </c>
      <c r="AU47" s="220">
        <v>47289</v>
      </c>
      <c r="AV47" s="220">
        <v>87787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17.34</v>
      </c>
      <c r="K49" s="217">
        <v>12.642426752029213</v>
      </c>
      <c r="L49" s="217"/>
      <c r="M49" s="217"/>
      <c r="N49" s="217"/>
      <c r="O49" s="216"/>
      <c r="P49" s="216">
        <v>48.75</v>
      </c>
      <c r="Q49" s="217">
        <v>53.447573247970787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2.2400000000000002</v>
      </c>
      <c r="AU49" s="220">
        <v>19.04</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3199.88</v>
      </c>
      <c r="AV50" s="220"/>
      <c r="AW50" s="297"/>
    </row>
    <row r="51" spans="2:49" x14ac:dyDescent="0.2">
      <c r="B51" s="239" t="s">
        <v>266</v>
      </c>
      <c r="C51" s="203"/>
      <c r="D51" s="216">
        <v>187</v>
      </c>
      <c r="E51" s="217">
        <v>187.39</v>
      </c>
      <c r="F51" s="217"/>
      <c r="G51" s="217"/>
      <c r="H51" s="217"/>
      <c r="I51" s="216"/>
      <c r="J51" s="216">
        <v>2512066</v>
      </c>
      <c r="K51" s="217">
        <v>1865574.6239913509</v>
      </c>
      <c r="L51" s="217"/>
      <c r="M51" s="217"/>
      <c r="N51" s="217"/>
      <c r="O51" s="216"/>
      <c r="P51" s="216">
        <v>6527959</v>
      </c>
      <c r="Q51" s="217">
        <v>7174450.2760086488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294823</v>
      </c>
      <c r="AU51" s="220">
        <v>2182484</v>
      </c>
      <c r="AV51" s="220">
        <v>294831</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6629</v>
      </c>
      <c r="K56" s="229">
        <v>6629</v>
      </c>
      <c r="L56" s="229"/>
      <c r="M56" s="229"/>
      <c r="N56" s="229"/>
      <c r="O56" s="228"/>
      <c r="P56" s="228">
        <v>15714</v>
      </c>
      <c r="Q56" s="229">
        <v>15714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23709</v>
      </c>
      <c r="AU56" s="230">
        <v>7768</v>
      </c>
      <c r="AV56" s="230">
        <v>5818</v>
      </c>
      <c r="AW56" s="288"/>
    </row>
    <row r="57" spans="2:49" x14ac:dyDescent="0.2">
      <c r="B57" s="245" t="s">
        <v>272</v>
      </c>
      <c r="C57" s="203" t="s">
        <v>25</v>
      </c>
      <c r="D57" s="231">
        <v>0</v>
      </c>
      <c r="E57" s="232"/>
      <c r="F57" s="232"/>
      <c r="G57" s="232"/>
      <c r="H57" s="232"/>
      <c r="I57" s="231"/>
      <c r="J57" s="231">
        <v>12151</v>
      </c>
      <c r="K57" s="232">
        <v>8469</v>
      </c>
      <c r="L57" s="232"/>
      <c r="M57" s="232"/>
      <c r="N57" s="232"/>
      <c r="O57" s="231"/>
      <c r="P57" s="231">
        <v>32595</v>
      </c>
      <c r="Q57" s="232">
        <v>36277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24380</v>
      </c>
      <c r="AU57" s="233">
        <v>7768</v>
      </c>
      <c r="AV57" s="233">
        <v>14029</v>
      </c>
      <c r="AW57" s="289"/>
    </row>
    <row r="58" spans="2:49" x14ac:dyDescent="0.2">
      <c r="B58" s="245" t="s">
        <v>273</v>
      </c>
      <c r="C58" s="203" t="s">
        <v>26</v>
      </c>
      <c r="D58" s="309"/>
      <c r="E58" s="310"/>
      <c r="F58" s="310"/>
      <c r="G58" s="310"/>
      <c r="H58" s="310"/>
      <c r="I58" s="309"/>
      <c r="J58" s="231">
        <v>514</v>
      </c>
      <c r="K58" s="232">
        <v>514</v>
      </c>
      <c r="L58" s="232"/>
      <c r="M58" s="232"/>
      <c r="N58" s="232"/>
      <c r="O58" s="231"/>
      <c r="P58" s="231">
        <v>147</v>
      </c>
      <c r="Q58" s="232">
        <v>147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287</v>
      </c>
      <c r="AU58" s="233">
        <v>3</v>
      </c>
      <c r="AV58" s="233">
        <v>7</v>
      </c>
      <c r="AW58" s="289"/>
    </row>
    <row r="59" spans="2:49" x14ac:dyDescent="0.2">
      <c r="B59" s="245" t="s">
        <v>274</v>
      </c>
      <c r="C59" s="203" t="s">
        <v>27</v>
      </c>
      <c r="D59" s="231">
        <v>0</v>
      </c>
      <c r="E59" s="232"/>
      <c r="F59" s="232"/>
      <c r="G59" s="232"/>
      <c r="H59" s="232"/>
      <c r="I59" s="231"/>
      <c r="J59" s="231">
        <v>132351</v>
      </c>
      <c r="K59" s="232">
        <v>96529</v>
      </c>
      <c r="L59" s="232"/>
      <c r="M59" s="232"/>
      <c r="N59" s="232"/>
      <c r="O59" s="231"/>
      <c r="P59" s="231">
        <v>242005</v>
      </c>
      <c r="Q59" s="232">
        <v>276604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395342</v>
      </c>
      <c r="AU59" s="233">
        <v>93591</v>
      </c>
      <c r="AV59" s="233">
        <v>298290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11029.25</v>
      </c>
      <c r="K60" s="235">
        <f t="shared" si="0"/>
        <v>8044.083333333333</v>
      </c>
      <c r="L60" s="235">
        <f t="shared" si="0"/>
        <v>0</v>
      </c>
      <c r="M60" s="235">
        <f t="shared" si="0"/>
        <v>0</v>
      </c>
      <c r="N60" s="235">
        <f t="shared" si="0"/>
        <v>0</v>
      </c>
      <c r="O60" s="234">
        <f t="shared" si="0"/>
        <v>0</v>
      </c>
      <c r="P60" s="234">
        <f t="shared" si="0"/>
        <v>20167.083333333332</v>
      </c>
      <c r="Q60" s="235">
        <f t="shared" si="0"/>
        <v>23050.333333333332</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32945.166666666664</v>
      </c>
      <c r="AU60" s="236">
        <f>AU$59/12</f>
        <v>7799.25</v>
      </c>
      <c r="AV60" s="236">
        <f>AV$59/12</f>
        <v>24857.5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1800045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13519</v>
      </c>
      <c r="E5" s="326">
        <v>0</v>
      </c>
      <c r="F5" s="326"/>
      <c r="G5" s="328"/>
      <c r="H5" s="328"/>
      <c r="I5" s="325"/>
      <c r="J5" s="325">
        <v>21323713</v>
      </c>
      <c r="K5" s="326">
        <v>15549800.663469501</v>
      </c>
      <c r="L5" s="326"/>
      <c r="M5" s="326"/>
      <c r="N5" s="326"/>
      <c r="O5" s="325"/>
      <c r="P5" s="325">
        <v>56967905</v>
      </c>
      <c r="Q5" s="326">
        <v>63007962.046529703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2500883</v>
      </c>
      <c r="AU5" s="327">
        <v>15913531</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1221956</v>
      </c>
      <c r="K9" s="362"/>
      <c r="L9" s="362"/>
      <c r="M9" s="362"/>
      <c r="N9" s="362"/>
      <c r="O9" s="364"/>
      <c r="P9" s="318">
        <v>-15043</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-300691</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-15041.53</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974822</v>
      </c>
      <c r="K11" s="319"/>
      <c r="L11" s="319"/>
      <c r="M11" s="319"/>
      <c r="N11" s="319"/>
      <c r="O11" s="318"/>
      <c r="P11" s="318">
        <v>39485</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1359563</v>
      </c>
      <c r="AV11" s="368"/>
      <c r="AW11" s="374"/>
    </row>
    <row r="12" spans="2:49" ht="15" customHeight="1" x14ac:dyDescent="0.2">
      <c r="B12" s="343" t="s">
        <v>282</v>
      </c>
      <c r="C12" s="331" t="s">
        <v>44</v>
      </c>
      <c r="D12" s="318">
        <v>0</v>
      </c>
      <c r="E12" s="363"/>
      <c r="F12" s="363"/>
      <c r="G12" s="363"/>
      <c r="H12" s="363"/>
      <c r="I12" s="365"/>
      <c r="J12" s="318">
        <v>1809672</v>
      </c>
      <c r="K12" s="363"/>
      <c r="L12" s="363"/>
      <c r="M12" s="363"/>
      <c r="N12" s="363"/>
      <c r="O12" s="365"/>
      <c r="P12" s="318">
        <v>1815722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-314912</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v>
      </c>
      <c r="E23" s="362"/>
      <c r="F23" s="362"/>
      <c r="G23" s="362"/>
      <c r="H23" s="362"/>
      <c r="I23" s="364"/>
      <c r="J23" s="318">
        <v>14834359</v>
      </c>
      <c r="K23" s="362"/>
      <c r="L23" s="362"/>
      <c r="M23" s="362"/>
      <c r="N23" s="362"/>
      <c r="O23" s="364"/>
      <c r="P23" s="318">
        <v>47542613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1675366</v>
      </c>
      <c r="AU23" s="321">
        <v>13253630</v>
      </c>
      <c r="AV23" s="368"/>
      <c r="AW23" s="374"/>
    </row>
    <row r="24" spans="2:49" ht="28.5" customHeight="1" x14ac:dyDescent="0.2">
      <c r="B24" s="345" t="s">
        <v>114</v>
      </c>
      <c r="C24" s="331"/>
      <c r="D24" s="365"/>
      <c r="E24" s="319">
        <v>0</v>
      </c>
      <c r="F24" s="319"/>
      <c r="G24" s="319"/>
      <c r="H24" s="319"/>
      <c r="I24" s="318"/>
      <c r="J24" s="365"/>
      <c r="K24" s="319">
        <v>12085432.82</v>
      </c>
      <c r="L24" s="319"/>
      <c r="M24" s="319"/>
      <c r="N24" s="319"/>
      <c r="O24" s="318"/>
      <c r="P24" s="365"/>
      <c r="Q24" s="319">
        <v>50902641.700000003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1561008</v>
      </c>
      <c r="K26" s="362"/>
      <c r="L26" s="362"/>
      <c r="M26" s="362"/>
      <c r="N26" s="362"/>
      <c r="O26" s="364"/>
      <c r="P26" s="318">
        <v>3956644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189161</v>
      </c>
      <c r="AU26" s="321">
        <v>1726675</v>
      </c>
      <c r="AV26" s="368"/>
      <c r="AW26" s="374"/>
    </row>
    <row r="27" spans="2:49" s="5" customFormat="1" ht="25.5" x14ac:dyDescent="0.2">
      <c r="B27" s="345" t="s">
        <v>85</v>
      </c>
      <c r="C27" s="331"/>
      <c r="D27" s="365"/>
      <c r="E27" s="319">
        <v>1.05</v>
      </c>
      <c r="F27" s="319"/>
      <c r="G27" s="319"/>
      <c r="H27" s="319"/>
      <c r="I27" s="318"/>
      <c r="J27" s="365"/>
      <c r="K27" s="319">
        <v>-31544.515661373509</v>
      </c>
      <c r="L27" s="319"/>
      <c r="M27" s="319"/>
      <c r="N27" s="319"/>
      <c r="O27" s="318"/>
      <c r="P27" s="365"/>
      <c r="Q27" s="319">
        <v>684978.89185336046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1653303</v>
      </c>
      <c r="K28" s="363"/>
      <c r="L28" s="363"/>
      <c r="M28" s="363"/>
      <c r="N28" s="363"/>
      <c r="O28" s="365"/>
      <c r="P28" s="318">
        <v>4017313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107593</v>
      </c>
      <c r="AU28" s="321">
        <v>3326047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12041</v>
      </c>
      <c r="K30" s="362"/>
      <c r="L30" s="362"/>
      <c r="M30" s="362"/>
      <c r="N30" s="362"/>
      <c r="O30" s="364"/>
      <c r="P30" s="318">
        <v>15959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c r="J31" s="365"/>
      <c r="K31" s="319">
        <v>2789.55</v>
      </c>
      <c r="L31" s="319"/>
      <c r="M31" s="319"/>
      <c r="N31" s="319"/>
      <c r="O31" s="318"/>
      <c r="P31" s="365"/>
      <c r="Q31" s="319">
        <v>5210.45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7593</v>
      </c>
      <c r="K32" s="363"/>
      <c r="L32" s="363"/>
      <c r="M32" s="363"/>
      <c r="N32" s="363"/>
      <c r="O32" s="365"/>
      <c r="P32" s="318">
        <v>12407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1221956</v>
      </c>
      <c r="K38" s="362"/>
      <c r="L38" s="362"/>
      <c r="M38" s="362"/>
      <c r="N38" s="362"/>
      <c r="O38" s="364"/>
      <c r="P38" s="318">
        <v>-15043</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-300691</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-15041.53</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974822</v>
      </c>
      <c r="K41" s="362"/>
      <c r="L41" s="362"/>
      <c r="M41" s="362"/>
      <c r="N41" s="362"/>
      <c r="O41" s="364"/>
      <c r="P41" s="318">
        <v>39485</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1359563</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1809672</v>
      </c>
      <c r="K43" s="363"/>
      <c r="L43" s="363"/>
      <c r="M43" s="363"/>
      <c r="N43" s="363"/>
      <c r="O43" s="365"/>
      <c r="P43" s="318">
        <v>1815722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-314912</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195</v>
      </c>
      <c r="E49" s="319">
        <v>0</v>
      </c>
      <c r="F49" s="319"/>
      <c r="G49" s="319"/>
      <c r="H49" s="319"/>
      <c r="I49" s="318"/>
      <c r="J49" s="318">
        <v>44130</v>
      </c>
      <c r="K49" s="319">
        <v>315599.88849597832</v>
      </c>
      <c r="L49" s="319"/>
      <c r="M49" s="319"/>
      <c r="N49" s="319"/>
      <c r="O49" s="318"/>
      <c r="P49" s="318">
        <v>344982</v>
      </c>
      <c r="Q49" s="319">
        <v>1188922.7862820553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6211</v>
      </c>
      <c r="AU49" s="321">
        <v>462611</v>
      </c>
      <c r="AV49" s="368"/>
      <c r="AW49" s="374"/>
    </row>
    <row r="50" spans="2:49" x14ac:dyDescent="0.2">
      <c r="B50" s="343" t="s">
        <v>119</v>
      </c>
      <c r="C50" s="331" t="s">
        <v>34</v>
      </c>
      <c r="D50" s="318">
        <v>130</v>
      </c>
      <c r="E50" s="363"/>
      <c r="F50" s="363"/>
      <c r="G50" s="363"/>
      <c r="H50" s="363"/>
      <c r="I50" s="365"/>
      <c r="J50" s="318">
        <v>44440</v>
      </c>
      <c r="K50" s="363"/>
      <c r="L50" s="363"/>
      <c r="M50" s="363"/>
      <c r="N50" s="363"/>
      <c r="O50" s="365"/>
      <c r="P50" s="318">
        <v>106794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3853</v>
      </c>
      <c r="AU50" s="321">
        <v>254877</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-3290.2600539729169</v>
      </c>
      <c r="L53" s="319"/>
      <c r="M53" s="319"/>
      <c r="N53" s="319"/>
      <c r="O53" s="318"/>
      <c r="P53" s="318">
        <v>0</v>
      </c>
      <c r="Q53" s="319">
        <v>3290.2599940474583</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-74</v>
      </c>
      <c r="E54" s="323">
        <f>E24+E27+E31+E35-E36+E39+E42+E45+E46-E49+E51+E52+E53</f>
        <v>1.05</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15133928</v>
      </c>
      <c r="K54" s="323">
        <f>K24+K27+K31+K35-K36+K39+K42+K45+K46-K49+K51+K52+K53</f>
        <v>11737787.705788676</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45456028</v>
      </c>
      <c r="Q54" s="323">
        <f>Q24+Q27+Q31+Q35-Q36+Q39+Q42+Q45+Q46-Q49+Q51+Q52+Q53</f>
        <v>50392156.985565357</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1754576</v>
      </c>
      <c r="AU54" s="324">
        <f>AU23+AU26-AU28+AU30-AU32+AU34-AU36+AU38+AU41-AU43+AU45+AU46-AU47-AU49+AU50+AU51+AU52+AU53</f>
        <v>12820308</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v>44628.7</v>
      </c>
      <c r="K56" s="319">
        <v>32522.431341085103</v>
      </c>
      <c r="L56" s="319"/>
      <c r="M56" s="319"/>
      <c r="N56" s="319"/>
      <c r="O56" s="318"/>
      <c r="P56" s="318">
        <v>124605.67</v>
      </c>
      <c r="Q56" s="319">
        <v>136711.93865891491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208702</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417391.91</v>
      </c>
      <c r="D5" s="403">
        <v>26508.16</v>
      </c>
      <c r="E5" s="454"/>
      <c r="F5" s="454"/>
      <c r="G5" s="448"/>
      <c r="H5" s="402">
        <v>12385590.300000001</v>
      </c>
      <c r="I5" s="403">
        <v>13503735.289999999</v>
      </c>
      <c r="J5" s="454"/>
      <c r="K5" s="454"/>
      <c r="L5" s="448"/>
      <c r="M5" s="402">
        <v>35663842.149999999</v>
      </c>
      <c r="N5" s="403">
        <v>45042100.240000002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417021.44750000001</v>
      </c>
      <c r="D6" s="398">
        <v>26506.768</v>
      </c>
      <c r="E6" s="400">
        <f>SUM('Pt 1 Summary of Data'!E$12,'Pt 1 Summary of Data'!E$22)+SUM('Pt 1 Summary of Data'!G$12,'Pt 1 Summary of Data'!G$22)-SUM('Pt 1 Summary of Data'!H$12,'Pt 1 Summary of Data'!H$22)</f>
        <v>1.05</v>
      </c>
      <c r="F6" s="400">
        <f t="shared" ref="F6:F11" si="0">SUM(C6:E6)</f>
        <v>443529.26549999998</v>
      </c>
      <c r="G6" s="401">
        <f>SUM('Pt 1 Summary of Data'!I$12,'Pt 1 Summary of Data'!I$22)</f>
        <v>0</v>
      </c>
      <c r="H6" s="397">
        <v>12244569.152767321</v>
      </c>
      <c r="I6" s="398">
        <v>13733971.635652734</v>
      </c>
      <c r="J6" s="400">
        <f>SUM('Pt 1 Summary of Data'!K$12,'Pt 1 Summary of Data'!K$22)+SUM('Pt 1 Summary of Data'!M$12,'Pt 1 Summary of Data'!M$22)-SUM('Pt 1 Summary of Data'!N$12,'Pt 1 Summary of Data'!N$22)</f>
        <v>11737787.705788676</v>
      </c>
      <c r="K6" s="400">
        <f>SUM(H6:J6)</f>
        <v>37716328.494208731</v>
      </c>
      <c r="L6" s="401">
        <f>SUM('Pt 1 Summary of Data'!O$12,'Pt 1 Summary of Data'!O$22)</f>
        <v>0</v>
      </c>
      <c r="M6" s="397">
        <v>35791076.675681956</v>
      </c>
      <c r="N6" s="398">
        <v>45866059.222498149</v>
      </c>
      <c r="O6" s="400">
        <f>SUM('Pt 1 Summary of Data'!Q$12,'Pt 1 Summary of Data'!Q$22)+SUM('Pt 1 Summary of Data'!S$12,'Pt 1 Summary of Data'!S$22)-SUM('Pt 1 Summary of Data'!T$12,'Pt 1 Summary of Data'!T$22)</f>
        <v>50392156.985565357</v>
      </c>
      <c r="P6" s="400">
        <f>SUM(M6:O6)</f>
        <v>132049292.88374546</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2987.05</v>
      </c>
      <c r="D7" s="398">
        <v>27674.59</v>
      </c>
      <c r="E7" s="400">
        <f>SUM('Pt 1 Summary of Data'!E$37:E$41)+SUM('Pt 1 Summary of Data'!G$37:G$41)-SUM('Pt 1 Summary of Data'!H$37:H$41)+MAX(0,MIN('Pt 1 Summary of Data'!E$42+'Pt 1 Summary of Data'!G$42-'Pt 1 Summary of Data'!H$42,0.3%*('Pt 1 Summary of Data'!E$5+'Pt 1 Summary of Data'!G$5-'Pt 1 Summary of Data'!H$5-SUM(E$9:E$11))))</f>
        <v>413.86</v>
      </c>
      <c r="F7" s="400">
        <f t="shared" si="0"/>
        <v>31075.5</v>
      </c>
      <c r="G7" s="401">
        <f>SUM('Pt 1 Summary of Data'!I$37:I$41)+MAX(0,MIN(VALUE('Pt 1 Summary of Data'!I$42),0.3%*('Pt 1 Summary of Data'!I$5-SUM(G$9:G$10))))</f>
        <v>0</v>
      </c>
      <c r="H7" s="397">
        <v>419926.85</v>
      </c>
      <c r="I7" s="398">
        <v>396950.74</v>
      </c>
      <c r="J7" s="400">
        <f>SUM('Pt 1 Summary of Data'!K$37:K$41)+SUM('Pt 1 Summary of Data'!M$37:M$41)-SUM('Pt 1 Summary of Data'!N$37:N$41)+MAX(0,MIN('Pt 1 Summary of Data'!K$42+'Pt 1 Summary of Data'!M$42-'Pt 1 Summary of Data'!N$42,0.3%*('Pt 1 Summary of Data'!K$5+'Pt 1 Summary of Data'!M$5-'Pt 1 Summary of Data'!N$5-SUM(J$10:J$11))))</f>
        <v>345311.38711262023</v>
      </c>
      <c r="K7" s="400">
        <f>SUM(H7:J7)</f>
        <v>1162188.9771126201</v>
      </c>
      <c r="L7" s="401">
        <f>SUM('Pt 1 Summary of Data'!O$37:O$41)+MAX(0,MIN(VALUE('Pt 1 Summary of Data'!O$42),0.3%*('Pt 1 Summary of Data'!O$5-L$10)))</f>
        <v>0</v>
      </c>
      <c r="M7" s="397">
        <v>1080232.83</v>
      </c>
      <c r="N7" s="398">
        <v>1208732.6000000001</v>
      </c>
      <c r="O7" s="400">
        <f>SUM('Pt 1 Summary of Data'!Q$37:Q$41)+SUM('Pt 1 Summary of Data'!S$37:S$41)-SUM('Pt 1 Summary of Data'!T$37:T$41)+MAX(0,MIN('Pt 1 Summary of Data'!Q$42+'Pt 1 Summary of Data'!S$42-'Pt 1 Summary of Data'!T$42,0.3%*('Pt 1 Summary of Data'!Q$5+'Pt 1 Summary of Data'!S$5-'Pt 1 Summary of Data'!T$5)))</f>
        <v>1469194.0128873799</v>
      </c>
      <c r="P7" s="400">
        <f>SUM(M7:O7)</f>
        <v>3758159.4428873798</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420008.4975</v>
      </c>
      <c r="D12" s="400">
        <f>SUM(D$6:D$7) - SUM(D$8:D$11)+IF(AND(OR('Company Information'!$C$12="District of Columbia",'Company Information'!$C$12="Massachusetts",'Company Information'!$C$12="Vermont"),SUM($C$6:$F$11,$C$15:$F$16,$C$38:$D$38)&lt;&gt;0),SUM(I$6:I$7) - SUM(I$10:I$11),0)</f>
        <v>54181.358</v>
      </c>
      <c r="E12" s="400">
        <f>SUM(E$6:E$7)-SUM(E$8:E$11)+IF(AND(OR('Company Information'!$C$12="District of Columbia",'Company Information'!$C$12="Massachusetts",'Company Information'!$C$12="Vermont"),SUM($C$6:$F$11,$C$15:$F$16,$C$38:$D$38)&lt;&gt;0),SUM(J$6:J$7)-SUM(J$10:J$11),0)</f>
        <v>414.91</v>
      </c>
      <c r="F12" s="400">
        <f>IFERROR(SUM(C$12:E$12)+C$17*MAX(0,E$50-C$50)+D$17*MAX(0,E$50-D$50),0)</f>
        <v>474604.76549999998</v>
      </c>
      <c r="G12" s="447"/>
      <c r="H12" s="399">
        <f>SUM(H$6:H$7)+IF(AND(OR('Company Information'!$C$12="District of Columbia",'Company Information'!$C$12="Massachusetts",'Company Information'!$C$12="Vermont"),SUM($H$6:$K$11,$H$15:$K$16,$H$38:$I$38)&lt;&gt;0),SUM(C$6:C$7),0)</f>
        <v>12664496.002767321</v>
      </c>
      <c r="I12" s="400">
        <f>SUM(I$6:I$7) - SUM(I$10:I$11)+IF(AND(OR('Company Information'!$C$12="District of Columbia",'Company Information'!$C$12="Massachusetts",'Company Information'!$C$12="Vermont"),SUM($H$6:$K$11,$H$15:$K$16,$H$38:$I$38)&lt;&gt;0),SUM(D$6:D$7) - SUM(D$8:D$11),0)</f>
        <v>14130922.375652734</v>
      </c>
      <c r="J12" s="400">
        <f>SUM(J$6:J$7)-SUM(J$10:J$11)+IF(AND(OR('Company Information'!$C$12="District of Columbia",'Company Information'!$C$12="Massachusetts",'Company Information'!$C$12="Vermont"),SUM($H$6:$K$11,$H$15:$K$16,$H$38:$I$38)&lt;&gt;0),SUM(E$6:E$7)-SUM(E$8:E$11),0)</f>
        <v>12083099.092901295</v>
      </c>
      <c r="K12" s="400">
        <f>IFERROR(SUM(H$12:J$12)+H$17*MAX(0,J$50-H$50)+I$17*MAX(0,J$50-I$50),0)</f>
        <v>38878517.471321352</v>
      </c>
      <c r="L12" s="447"/>
      <c r="M12" s="399">
        <f>SUM(M$6:M$7)</f>
        <v>36871309.505681954</v>
      </c>
      <c r="N12" s="400">
        <f>SUM(N$6:N$7)</f>
        <v>47074791.82249815</v>
      </c>
      <c r="O12" s="400">
        <f>SUM(O$6:O$7)</f>
        <v>51861350.998452738</v>
      </c>
      <c r="P12" s="400">
        <f>SUM(M$12:O$12)+M$17*MAX(0,O$50-M$50)+N$17*MAX(0,O$50-N$50)</f>
        <v>135807452.32663286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643163.68999999994</v>
      </c>
      <c r="D15" s="403">
        <v>39728.410000000003</v>
      </c>
      <c r="E15" s="395">
        <f>SUM('Pt 1 Summary of Data'!E$5:E$7)+SUM('Pt 1 Summary of Data'!G$5:G$7)-SUM('Pt 1 Summary of Data'!H$5:H$7)-SUM(E$9:E$11)</f>
        <v>0</v>
      </c>
      <c r="F15" s="395">
        <f>SUM(C15:E15)</f>
        <v>682892.1</v>
      </c>
      <c r="G15" s="396">
        <f>SUM('Pt 1 Summary of Data'!I$5:I$7)-SUM(G$9:G$10)</f>
        <v>0</v>
      </c>
      <c r="H15" s="402">
        <v>18664267.899999999</v>
      </c>
      <c r="I15" s="403">
        <v>19052582.239999998</v>
      </c>
      <c r="J15" s="395">
        <f>SUM('Pt 1 Summary of Data'!K$5:K$7)+SUM('Pt 1 Summary of Data'!M$5:M$7)-SUM('Pt 1 Summary of Data'!N$5:N$7)-SUM(J$10:J$11)</f>
        <v>15549800.663469501</v>
      </c>
      <c r="K15" s="395">
        <f>SUM(H15:J15)</f>
        <v>53266650.803469501</v>
      </c>
      <c r="L15" s="396">
        <f>SUM('Pt 1 Summary of Data'!O$5:O$7)-L$10</f>
        <v>0</v>
      </c>
      <c r="M15" s="402">
        <v>46751589.869999997</v>
      </c>
      <c r="N15" s="403">
        <v>53825389.509999998</v>
      </c>
      <c r="O15" s="395">
        <f>SUM('Pt 1 Summary of Data'!Q$5:Q$7)+SUM('Pt 1 Summary of Data'!S$5:S$7)-SUM('Pt 1 Summary of Data'!T$5:T$7)+N$56</f>
        <v>63007962.046529703</v>
      </c>
      <c r="P15" s="395">
        <f>SUM(M15:O15)</f>
        <v>163584941.42652971</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26619</v>
      </c>
      <c r="D16" s="398">
        <v>541.82000000000005</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760.37</v>
      </c>
      <c r="F16" s="400">
        <f>SUM(C16:E16)</f>
        <v>27921.19</v>
      </c>
      <c r="G16" s="401">
        <f>SUM('Pt 1 Summary of Data'!I$25:I$28,'Pt 1 Summary of Data'!I$30,'Pt 1 Summary of Data'!I$34:I$35)+IF('Company Information'!$C$15="No",IF(MAX('Pt 1 Summary of Data'!I$31:I$32)=0,MIN('Pt 1 Summary of Data'!I$31:I$32),MAX('Pt 1 Summary of Data'!I$31:I$32)),SUM('Pt 1 Summary of Data'!I$31:I$32))</f>
        <v>0</v>
      </c>
      <c r="H16" s="397">
        <v>474186</v>
      </c>
      <c r="I16" s="398">
        <v>538126.19999999995</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666620.06311008765</v>
      </c>
      <c r="K16" s="400">
        <f>SUM(H16:J16)</f>
        <v>1678932.2631100877</v>
      </c>
      <c r="L16" s="401">
        <f>SUM('Pt 1 Summary of Data'!O$25:O$28,'Pt 1 Summary of Data'!O$30,'Pt 1 Summary of Data'!O$34:O$35)+IF('Company Information'!$C$15="No",IF(MAX('Pt 1 Summary of Data'!O$31:O$32)=0,MIN('Pt 1 Summary of Data'!O$31:O$32),MAX('Pt 1 Summary of Data'!O$31:O$32)),SUM('Pt 1 Summary of Data'!O$31:O$32))</f>
        <v>0</v>
      </c>
      <c r="M16" s="397">
        <v>-179627</v>
      </c>
      <c r="N16" s="398">
        <v>1557519.08</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2748009.8225805652</v>
      </c>
      <c r="P16" s="400">
        <f>SUM(M16:O16)</f>
        <v>4125901.9025805653</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616544.68999999994</v>
      </c>
      <c r="D17" s="400">
        <f>D$15-D$16+IF(AND(OR('Company Information'!$C$12="District of Columbia",'Company Information'!$C$12="Massachusetts",'Company Information'!$C$12="Vermont"),SUM($C$6:$F$11,$C$15:$F$16,$C$38:$D$38)&lt;&gt;0),I$15-I$16,0)</f>
        <v>39186.590000000004</v>
      </c>
      <c r="E17" s="400">
        <f>E$15-E$16+IF(AND(OR('Company Information'!$C$12="District of Columbia",'Company Information'!$C$12="Massachusetts",'Company Information'!$C$12="Vermont"),SUM($C$6:$F$11,$C$15:$F$16,$C$38:$D$38)&lt;&gt;0),J$15-J$16,0)</f>
        <v>-760.37</v>
      </c>
      <c r="F17" s="400">
        <f>F$15-F$16+IF(AND(OR('Company Information'!$C$12="District of Columbia",'Company Information'!$C$12="Massachusetts",'Company Information'!$C$12="Vermont"),SUM($C$6:$F$11,$C$15:$F$16,$C$38:$D$38)&lt;&gt;0),K$15-K$16,0)</f>
        <v>654970.91</v>
      </c>
      <c r="G17" s="450"/>
      <c r="H17" s="399">
        <f>H$15-H$16+IF(AND(OR('Company Information'!$C$12="District of Columbia",'Company Information'!$C$12="Massachusetts",'Company Information'!$C$12="Vermont"),SUM($H$6:$K$11,$H$15:$K$16,$H$38:$I$38)&lt;&gt;0),C$15-C$16,0)</f>
        <v>18190081.899999999</v>
      </c>
      <c r="I17" s="400">
        <f>I$15-I$16+IF(AND(OR('Company Information'!$C$12="District of Columbia",'Company Information'!$C$12="Massachusetts",'Company Information'!$C$12="Vermont"),SUM($H$6:$K$11,$H$15:$K$16,$H$38:$I$38)&lt;&gt;0),D$15-D$16,0)</f>
        <v>18514456.039999999</v>
      </c>
      <c r="J17" s="400">
        <f>J$15-J$16+IF(AND(OR('Company Information'!$C$12="District of Columbia",'Company Information'!$C$12="Massachusetts",'Company Information'!$C$12="Vermont"),SUM($H$6:$K$11,$H$15:$K$16,$H$38:$I$38)&lt;&gt;0),E$15-E$16,0)</f>
        <v>14883180.600359414</v>
      </c>
      <c r="K17" s="400">
        <f>K$15-K$16+IF(AND(OR('Company Information'!$C$12="District of Columbia",'Company Information'!$C$12="Massachusetts",'Company Information'!$C$12="Vermont"),SUM($H$6:$K$11,$H$15:$K$16,$H$38:$I$38)&lt;&gt;0),F$15-F$16,0)</f>
        <v>51587718.540359415</v>
      </c>
      <c r="L17" s="450"/>
      <c r="M17" s="399">
        <f>M$15-M$16</f>
        <v>46931216.869999997</v>
      </c>
      <c r="N17" s="400">
        <f>N$15-N$16</f>
        <v>52267870.43</v>
      </c>
      <c r="O17" s="400">
        <f>O$15-O$16</f>
        <v>60259952.223949134</v>
      </c>
      <c r="P17" s="400">
        <f>P$15-P$16</f>
        <v>159459039.52394915</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391</v>
      </c>
      <c r="D38" s="405">
        <v>25.08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416.08</v>
      </c>
      <c r="G38" s="448"/>
      <c r="H38" s="404">
        <v>9173</v>
      </c>
      <c r="I38" s="405">
        <v>9167.75</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8044.083333333333</v>
      </c>
      <c r="K38" s="432">
        <f>SUM(H$38:J$38)+IF(AND(OR('Company Information'!$C$12="District of Columbia",'Company Information'!$C$12="Massachusetts",'Company Information'!$C$12="Vermont"),SUM($H$6:$K$11,$H$15:$K$16,$H$38:$I$38)&lt;&gt;0,SUM(H$38:I$38)&lt;&gt;SUM(C$38:D$38)),SUM(C$38:D$38),0)</f>
        <v>26384.833333333332</v>
      </c>
      <c r="L38" s="448"/>
      <c r="M38" s="404">
        <v>27421</v>
      </c>
      <c r="N38" s="405">
        <v>31603.25</v>
      </c>
      <c r="O38" s="432">
        <f>('Pt 1 Summary of Data'!Q$59+'Pt 1 Summary of Data'!S$59-'Pt 1 Summary of Data'!T$59)/12</f>
        <v>23050.333333333332</v>
      </c>
      <c r="P38" s="432">
        <f>SUM(M$38:O$38)</f>
        <v>82074.583333333328</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1.5778426666666668E-2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100</v>
      </c>
      <c r="L40" s="447"/>
      <c r="M40" s="443"/>
      <c r="N40" s="441"/>
      <c r="O40" s="441"/>
      <c r="P40" s="398">
        <v>100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 ca="1">IF(OR(K$38&lt;1000,K$38&gt;=75000),0,K$39*K$41)</f>
        <v>1.5778426666666668E-2</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f>IF(OR(H$38&lt;1000,H$17&lt;=0),"",H$12/H$17)</f>
        <v>0.69623084010233738</v>
      </c>
      <c r="I45" s="436">
        <f>IF(OR(I$38&lt;1000,I$17&lt;=0),"",I$12/I$17)</f>
        <v>0.76323724256998127</v>
      </c>
      <c r="J45" s="436">
        <f>IF(OR(J$38&lt;1000,J$17&lt;=0),"",J$12/J$17)</f>
        <v>0.81186269369125985</v>
      </c>
      <c r="K45" s="436">
        <f>IF(OR(K$38&lt;1000,K$17&lt;=0),"",K$12/K$17)</f>
        <v>0.75363901663735955</v>
      </c>
      <c r="L45" s="447"/>
      <c r="M45" s="438">
        <f>IF(OR(M$38&lt;1000,M$17&lt;=0),"",M$12/M$17)</f>
        <v>0.78564571653481519</v>
      </c>
      <c r="N45" s="436">
        <f>IF(OR(N$38&lt;1000,N$17&lt;=0),"",N$12/N$17)</f>
        <v>0.90064491694842042</v>
      </c>
      <c r="O45" s="436">
        <f>IF(OR(O$38&lt;1000,O$17&lt;=0),"",O$12/O$17)</f>
        <v>0.8606271509429021</v>
      </c>
      <c r="P45" s="436">
        <f>IF(OR(P$38&lt;1000,P$17&lt;=0),"",P$12/P$17)</f>
        <v>0.85167609645758557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f ca="1">IF(K$45="","",K$42)</f>
        <v>1.5778426666666668E-2</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f ca="1">IF(K$45="","",ROUND(K$45+MAX(0,K$47),3))</f>
        <v>0.76900000000000002</v>
      </c>
      <c r="L48" s="447"/>
      <c r="M48" s="443"/>
      <c r="N48" s="441"/>
      <c r="O48" s="441"/>
      <c r="P48" s="436">
        <f>IF(P$45="","",ROUND(P$45+MAX(0,P$47),3))</f>
        <v>0.85199999999999998</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f ca="1">K$48</f>
        <v>0.76900000000000002</v>
      </c>
      <c r="L51" s="447"/>
      <c r="M51" s="444"/>
      <c r="N51" s="442"/>
      <c r="O51" s="442"/>
      <c r="P51" s="436">
        <f>P$48</f>
        <v>0.85199999999999998</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f>IF(K$38&lt;1000,"",MAX(0,J$15-J$16))</f>
        <v>14883180.600359414</v>
      </c>
      <c r="L52" s="447"/>
      <c r="M52" s="443"/>
      <c r="N52" s="441"/>
      <c r="O52" s="441"/>
      <c r="P52" s="400">
        <f>IF(P$38&lt;1000,"",MAX(0,O$15-O$16))</f>
        <v>60259952.223949134</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 ca="1">IF(OR(K$38&lt;1000,K$17&lt;=0),0,MAX(0,K$50-K$51)*K$52)</f>
        <v>461378.59861114225</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6629</v>
      </c>
      <c r="E4" s="104">
        <f>'Pt 1 Summary of Data'!$Q$56+'Pt 1 Summary of Data'!$S$56-'Pt 1 Summary of Data'!$T$56</f>
        <v>15714</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522</v>
      </c>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v>0</v>
      </c>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 ca="1">'Pt 3 MLR and Rebate Calculation'!$K$53</f>
        <v>461378.59861114225</v>
      </c>
      <c r="E11" s="97">
        <f>'Pt 3 MLR and Rebate Calculation'!$P$53</f>
        <v>0</v>
      </c>
      <c r="F11" s="97">
        <f>'Pt 3 MLR and Rebate Calculation'!$T$53</f>
        <v>0</v>
      </c>
      <c r="G11" s="97"/>
      <c r="H11" s="97"/>
      <c r="I11" s="178"/>
      <c r="J11" s="178"/>
      <c r="K11" s="196"/>
    </row>
    <row r="12" spans="2:11" x14ac:dyDescent="0.2">
      <c r="B12" s="124" t="s">
        <v>93</v>
      </c>
      <c r="C12" s="94"/>
      <c r="D12" s="95">
        <v>0</v>
      </c>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461378.6</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1221954.1000000001</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67841.539999999994</v>
      </c>
      <c r="E22" s="127"/>
      <c r="F22" s="127"/>
      <c r="G22" s="127"/>
      <c r="H22" s="127"/>
      <c r="I22" s="181"/>
      <c r="J22" s="181"/>
      <c r="K22" s="200"/>
    </row>
    <row r="23" spans="2:12" s="5" customFormat="1" ht="100.15" customHeight="1" x14ac:dyDescent="0.2">
      <c r="B23" s="91" t="s">
        <v>212</v>
      </c>
      <c r="C23" s="483" t="s">
        <v>513</v>
      </c>
      <c r="D23" s="484"/>
      <c r="E23" s="484"/>
      <c r="F23" s="484"/>
      <c r="G23" s="484"/>
      <c r="H23" s="484"/>
      <c r="I23" s="484"/>
      <c r="J23" s="484"/>
      <c r="K23" s="485"/>
    </row>
    <row r="24" spans="2:12" s="5" customFormat="1" ht="100.15" customHeight="1" x14ac:dyDescent="0.2">
      <c r="B24" s="90" t="s">
        <v>213</v>
      </c>
      <c r="C24" s="486" t="s">
        <v>514</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t="s">
        <v>510</v>
      </c>
      <c r="C11" s="28"/>
      <c r="D11" s="29"/>
      <c r="E11" s="29"/>
      <c r="F11" s="29"/>
      <c r="G11" s="29"/>
      <c r="H11" s="29"/>
      <c r="I11" s="27"/>
      <c r="J11" s="27"/>
      <c r="K11" s="2"/>
    </row>
    <row r="12" spans="1:12" s="5" customFormat="1" ht="18" customHeight="1" x14ac:dyDescent="0.2">
      <c r="B12" s="61" t="s">
        <v>511</v>
      </c>
      <c r="C12" s="28"/>
      <c r="D12" s="29"/>
      <c r="E12" s="29"/>
      <c r="F12" s="29"/>
      <c r="G12" s="29"/>
      <c r="H12" s="29"/>
      <c r="I12" s="27"/>
      <c r="J12" s="27"/>
      <c r="K12" s="2"/>
    </row>
    <row r="13" spans="1:12" s="5" customFormat="1" ht="18" customHeight="1" x14ac:dyDescent="0.2">
      <c r="B13" s="61" t="s">
        <v>512</v>
      </c>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2016-07-28T11:14:26Z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