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O45" i="10"/>
  <c r="N45" i="10"/>
  <c r="M45" i="10"/>
  <c r="AN42" i="10"/>
  <c r="AB42" i="10"/>
  <c r="X42" i="10"/>
  <c r="T42" i="10"/>
  <c r="P42" i="10"/>
  <c r="AN41" i="10"/>
  <c r="AB41" i="10"/>
  <c r="X41" i="10"/>
  <c r="T41" i="10"/>
  <c r="P41" i="10"/>
  <c r="K41" i="10"/>
  <c r="F41" i="10"/>
  <c r="AN39" i="10"/>
  <c r="X39" i="10"/>
  <c r="T39" i="10"/>
  <c r="AN38" i="10"/>
  <c r="AM38" i="10"/>
  <c r="AB38" i="10"/>
  <c r="AA38" i="10"/>
  <c r="X38" i="10"/>
  <c r="W38" i="10"/>
  <c r="T38" i="10"/>
  <c r="S38" i="10"/>
  <c r="P38" i="10"/>
  <c r="O38" i="10"/>
  <c r="L32" i="10"/>
  <c r="L27" i="10"/>
  <c r="L24" i="10"/>
  <c r="L23" i="10"/>
  <c r="L22" i="10"/>
  <c r="L30" i="10" s="1"/>
  <c r="L31" i="10" s="1"/>
  <c r="L20" i="10"/>
  <c r="L19" i="10"/>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K13" i="10"/>
  <c r="AA13" i="10"/>
  <c r="Z13" i="10"/>
  <c r="Y13" i="10"/>
  <c r="W13" i="10"/>
  <c r="U13" i="10"/>
  <c r="S13" i="10"/>
  <c r="Q13" i="10"/>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S55" i="18"/>
  <c r="AS22" i="4" s="1"/>
  <c r="AR55" i="18"/>
  <c r="AR22" i="4" s="1"/>
  <c r="AQ55" i="18"/>
  <c r="AQ22" i="4" s="1"/>
  <c r="AP55" i="18"/>
  <c r="AP22" i="4" s="1"/>
  <c r="AO55" i="18"/>
  <c r="AO22" i="4" s="1"/>
  <c r="AN55" i="18"/>
  <c r="AN22" i="4" s="1"/>
  <c r="AC55" i="18"/>
  <c r="AC22" i="4" s="1"/>
  <c r="AB55" i="18"/>
  <c r="AB22" i="4" s="1"/>
  <c r="AA55" i="18"/>
  <c r="AA22" i="4" s="1"/>
  <c r="Z55" i="18"/>
  <c r="Z22" i="4" s="1"/>
  <c r="Y55" i="18"/>
  <c r="X55" i="18"/>
  <c r="X22" i="4" s="1"/>
  <c r="W55" i="18"/>
  <c r="W22" i="4" s="1"/>
  <c r="V55" i="18"/>
  <c r="V22" i="4" s="1"/>
  <c r="U55" i="18"/>
  <c r="T55" i="18"/>
  <c r="S55" i="18"/>
  <c r="R55" i="18"/>
  <c r="Q55" i="18"/>
  <c r="P55" i="18"/>
  <c r="O55" i="18"/>
  <c r="N55" i="18"/>
  <c r="M55" i="18"/>
  <c r="L55" i="18"/>
  <c r="L22" i="4" s="1"/>
  <c r="K55" i="18"/>
  <c r="K22" i="4" s="1"/>
  <c r="J55" i="18"/>
  <c r="J22" i="4" s="1"/>
  <c r="I55" i="18"/>
  <c r="I22" i="4" s="1"/>
  <c r="H55" i="18"/>
  <c r="H22" i="4" s="1"/>
  <c r="G55" i="18"/>
  <c r="G22" i="4" s="1"/>
  <c r="F55" i="18"/>
  <c r="E55" i="18"/>
  <c r="E22" i="4" s="1"/>
  <c r="D55" i="18"/>
  <c r="D22" i="4" s="1"/>
  <c r="AU54" i="18"/>
  <c r="AT54" i="18"/>
  <c r="AT12" i="4" s="1"/>
  <c r="AS54" i="18"/>
  <c r="AR54" i="18"/>
  <c r="AQ54" i="18"/>
  <c r="AQ12" i="4" s="1"/>
  <c r="AP54" i="18"/>
  <c r="AO54" i="18"/>
  <c r="AO12" i="4" s="1"/>
  <c r="AN54" i="18"/>
  <c r="AN12" i="4" s="1"/>
  <c r="AC54" i="18"/>
  <c r="AC12" i="4" s="1"/>
  <c r="AB54" i="18"/>
  <c r="AA54" i="18"/>
  <c r="Z54" i="18"/>
  <c r="Y54" i="18"/>
  <c r="Y12" i="4" s="1"/>
  <c r="X54" i="18"/>
  <c r="W54" i="18"/>
  <c r="V54" i="18"/>
  <c r="U54" i="18"/>
  <c r="U12" i="4" s="1"/>
  <c r="T54" i="18"/>
  <c r="S54" i="18"/>
  <c r="S12" i="4" s="1"/>
  <c r="R54" i="18"/>
  <c r="Q54" i="18"/>
  <c r="P54" i="18"/>
  <c r="O54" i="18"/>
  <c r="N54" i="18"/>
  <c r="M54" i="18"/>
  <c r="M12" i="4" s="1"/>
  <c r="L54" i="18"/>
  <c r="L12" i="4" s="1"/>
  <c r="K54" i="18"/>
  <c r="K12" i="4" s="1"/>
  <c r="J54" i="18"/>
  <c r="I54" i="18"/>
  <c r="H54" i="18"/>
  <c r="G54" i="18"/>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Y22" i="4"/>
  <c r="U22" i="4"/>
  <c r="T22" i="4"/>
  <c r="S22" i="4"/>
  <c r="R22" i="4"/>
  <c r="Q22" i="4"/>
  <c r="P22" i="4"/>
  <c r="O22" i="4"/>
  <c r="N22" i="4"/>
  <c r="M22" i="4"/>
  <c r="F22" i="4"/>
  <c r="AU12" i="4"/>
  <c r="AS12" i="4"/>
  <c r="AR12" i="4"/>
  <c r="AP12" i="4"/>
  <c r="AB12" i="4"/>
  <c r="AA12" i="4"/>
  <c r="Z12" i="4"/>
  <c r="X12" i="4"/>
  <c r="W12" i="4"/>
  <c r="V12" i="4"/>
  <c r="T12" i="4"/>
  <c r="R12" i="4"/>
  <c r="Q12" i="4"/>
  <c r="P12" i="4"/>
  <c r="O12" i="4"/>
  <c r="N12" i="4"/>
  <c r="J12" i="4"/>
  <c r="I12" i="4"/>
  <c r="H12" i="4"/>
  <c r="G12" i="4"/>
  <c r="AU5" i="4"/>
  <c r="AT5" i="4"/>
  <c r="AS5" i="4"/>
  <c r="AR5" i="4"/>
  <c r="AQ5" i="4"/>
  <c r="AP5" i="4"/>
  <c r="AO5" i="4"/>
  <c r="AN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K7" i="10" l="1"/>
  <c r="F15" i="10"/>
  <c r="G7" i="10"/>
  <c r="J15" i="10"/>
  <c r="E7" i="10"/>
  <c r="AB39" i="10"/>
  <c r="P39" i="10"/>
  <c r="L29" i="10"/>
  <c r="L33" i="10" s="1"/>
  <c r="L34" i="10" s="1"/>
  <c r="L21" i="10"/>
  <c r="L26" i="10" s="1"/>
  <c r="L25" i="10" s="1"/>
  <c r="L28" i="10" s="1"/>
  <c r="AB13" i="10"/>
  <c r="T13" i="10"/>
  <c r="P12" i="10"/>
  <c r="P45" i="10" s="1"/>
  <c r="X13" i="10"/>
  <c r="R13" i="10"/>
  <c r="G19" i="10" l="1"/>
  <c r="G20" i="10"/>
  <c r="G24" i="10"/>
  <c r="F7" i="10"/>
  <c r="E38" i="10"/>
  <c r="D17" i="10"/>
  <c r="C17" i="10"/>
  <c r="C12" i="10"/>
  <c r="E17" i="10"/>
  <c r="G32" i="10"/>
  <c r="F17" i="10"/>
  <c r="G23" i="10"/>
  <c r="K15" i="10"/>
  <c r="J38" i="10"/>
  <c r="G27" i="10"/>
  <c r="P47" i="10"/>
  <c r="P48" i="10" s="1"/>
  <c r="P51" i="10" s="1"/>
  <c r="P53" i="10" s="1"/>
  <c r="E11" i="16" s="1"/>
  <c r="C45" i="10" l="1"/>
  <c r="K38" i="10"/>
  <c r="K17" i="10"/>
  <c r="I12" i="10"/>
  <c r="H12" i="10"/>
  <c r="J17" i="10"/>
  <c r="J45" i="10" s="1"/>
  <c r="F38" i="10"/>
  <c r="E12" i="10"/>
  <c r="E45" i="10" s="1"/>
  <c r="D12" i="10"/>
  <c r="D45" i="10" s="1"/>
  <c r="G22" i="10"/>
  <c r="I17" i="10"/>
  <c r="I45" i="10" s="1"/>
  <c r="H17" i="10"/>
  <c r="J12" i="10"/>
  <c r="H45" i="10" l="1"/>
  <c r="K39" i="10" s="1"/>
  <c r="F52" i="10"/>
  <c r="F39" i="10"/>
  <c r="F42" i="10" s="1"/>
  <c r="F47" i="10" s="1"/>
  <c r="F48" i="10" s="1"/>
  <c r="F51" i="10" s="1"/>
  <c r="F53" i="10" s="1"/>
  <c r="C11" i="16" s="1"/>
  <c r="G30" i="10"/>
  <c r="G31" i="10" s="1"/>
  <c r="G29" i="10" s="1"/>
  <c r="G33" i="10" s="1"/>
  <c r="G34" i="10" s="1"/>
  <c r="G21" i="10"/>
  <c r="G26" i="10" s="1"/>
  <c r="G25" i="10" s="1"/>
  <c r="G28" i="10" s="1"/>
  <c r="K52" i="10"/>
  <c r="K42" i="10"/>
  <c r="F12" i="10"/>
  <c r="F45" i="10" s="1"/>
  <c r="K12" i="10"/>
  <c r="K45" i="10" s="1"/>
  <c r="K47" i="10" s="1"/>
  <c r="K48" i="10" s="1"/>
  <c r="K51" i="10" s="1"/>
  <c r="K53" i="10" s="1"/>
  <c r="D11" i="16" s="1"/>
</calcChain>
</file>

<file path=xl/sharedStrings.xml><?xml version="1.0" encoding="utf-8"?>
<sst xmlns="http://schemas.openxmlformats.org/spreadsheetml/2006/main" count="629" uniqueCount="530">
  <si>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</si>
  <si>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</si>
  <si>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</si>
  <si>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</si>
  <si>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</si>
  <si>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</si>
  <si>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</si>
  <si>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</si>
  <si>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</si>
  <si>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</si>
  <si>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</si>
  <si>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</si>
  <si>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</si>
  <si>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</si>
  <si>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</si>
  <si>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</si>
  <si>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</si>
  <si>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</si>
  <si>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</si>
  <si>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</si>
  <si>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</si>
  <si>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</si>
  <si>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</si>
  <si>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</si>
  <si>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</si>
  <si>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</si>
  <si>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</si>
  <si>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</si>
  <si>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</si>
  <si>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</si>
  <si>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</si>
  <si>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</si>
  <si>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</si>
  <si>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</si>
  <si>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</si>
  <si>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</si>
  <si>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</si>
  <si>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</si>
  <si>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</si>
  <si>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</si>
  <si>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</si>
  <si>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</si>
  <si>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</si>
  <si>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</si>
  <si>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</si>
  <si>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</si>
  <si>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</si>
  <si>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</si>
  <si>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</si>
  <si>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</si>
  <si>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</si>
  <si>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</si>
  <si>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</si>
  <si>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</si>
  <si>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</si>
  <si>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</si>
  <si>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</si>
  <si>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</si>
  <si>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</si>
  <si>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</si>
  <si>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</si>
  <si>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</si>
  <si>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</si>
  <si>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</si>
  <si>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</si>
  <si>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</si>
  <si>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</si>
  <si>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</si>
  <si>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</si>
  <si>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</si>
  <si>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</si>
  <si>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</si>
  <si>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</si>
  <si>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</si>
  <si>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</si>
  <si>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</si>
  <si>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</si>
  <si>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</si>
  <si>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</si>
  <si>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</si>
  <si>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</si>
  <si>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</si>
  <si>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</si>
  <si>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</si>
  <si>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</si>
  <si>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</si>
  <si>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</si>
  <si>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</si>
  <si>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</si>
  <si>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</si>
  <si>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</si>
  <si>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</si>
  <si>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</si>
  <si>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</si>
  <si>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</si>
  <si>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</si>
  <si>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</si>
  <si>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</si>
  <si>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</si>
  <si>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</si>
  <si>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</si>
  <si>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</si>
  <si>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</si>
  <si>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</si>
  <si>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</si>
  <si>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</si>
  <si>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</si>
  <si>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</si>
  <si>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</si>
  <si>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</si>
  <si>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</si>
  <si>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</si>
  <si>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</si>
  <si>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</si>
  <si>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</si>
  <si>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</si>
  <si>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</si>
  <si>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</si>
  <si>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</si>
  <si>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</si>
  <si>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</si>
  <si>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</si>
  <si>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</si>
  <si>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</si>
  <si>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</si>
  <si>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</si>
  <si>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</si>
  <si>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</si>
  <si>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</si>
  <si>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</si>
  <si>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</si>
  <si>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</si>
  <si>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</si>
  <si>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</si>
  <si>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</si>
  <si>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</si>
  <si>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</si>
  <si>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</si>
  <si>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</si>
  <si>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</si>
  <si>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</si>
  <si>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</si>
  <si>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</si>
  <si>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</si>
  <si>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</si>
  <si>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</si>
  <si>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</si>
  <si>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</si>
  <si>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</si>
  <si>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</si>
  <si>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</si>
  <si>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</si>
  <si>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</si>
  <si>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</si>
  <si>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</si>
  <si>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</si>
  <si>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</si>
  <si>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</si>
  <si>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</si>
  <si>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</si>
  <si>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</si>
  <si>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</si>
  <si>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</si>
  <si>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</si>
  <si>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</si>
  <si>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</si>
  <si>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</si>
  <si>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</si>
  <si>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</si>
  <si>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</si>
  <si>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</si>
  <si>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</si>
  <si>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</si>
  <si>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</si>
  <si>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</si>
  <si>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</si>
  <si>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</si>
  <si>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</si>
  <si>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</si>
  <si>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</si>
  <si>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</si>
  <si>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</si>
  <si>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</si>
  <si>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</si>
  <si>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</si>
  <si>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</si>
  <si>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</si>
  <si>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</si>
  <si>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</si>
  <si>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</si>
  <si>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</si>
  <si>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</si>
  <si>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</si>
  <si>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</si>
  <si>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</si>
  <si>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</si>
  <si>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</si>
  <si>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</si>
  <si>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</si>
  <si>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</si>
  <si>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</si>
  <si>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</si>
  <si>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</si>
  <si>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</si>
  <si>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</si>
  <si>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</si>
  <si>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</si>
  <si>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</si>
  <si>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</si>
  <si>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</si>
  <si>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</si>
  <si>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</si>
  <si>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</si>
  <si>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</si>
  <si>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</si>
  <si>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</si>
  <si>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</si>
  <si>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</si>
  <si>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</si>
  <si>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</si>
  <si>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</si>
  <si>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</si>
  <si>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</si>
  <si>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</si>
  <si>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</si>
  <si>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</si>
  <si>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</si>
  <si>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</si>
  <si>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</si>
  <si>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</si>
  <si>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</si>
  <si>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</si>
  <si>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</si>
  <si>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</si>
  <si>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</si>
  <si>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</si>
  <si>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</si>
  <si>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</si>
  <si>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</si>
  <si>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</si>
  <si>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</si>
  <si>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</si>
  <si>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</si>
  <si>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</si>
  <si>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</si>
  <si>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</si>
  <si>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</si>
  <si>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</si>
  <si>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</si>
  <si>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</si>
  <si>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</si>
  <si>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</si>
  <si>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</si>
  <si>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</si>
  <si>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</si>
  <si>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</si>
  <si>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</si>
  <si>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</si>
  <si>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</si>
  <si>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</si>
  <si>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</si>
  <si>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</si>
  <si>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</si>
  <si>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</si>
  <si>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</si>
  <si>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</si>
  <si>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</si>
  <si>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</si>
  <si>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</si>
  <si>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</si>
  <si>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</si>
  <si>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</si>
  <si>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</si>
  <si>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</si>
  <si>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</si>
  <si>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</si>
  <si>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</si>
  <si>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</si>
  <si>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</si>
  <si>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</si>
  <si>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</si>
  <si>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</si>
  <si>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</si>
  <si>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</si>
  <si>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</si>
  <si>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</si>
  <si>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</si>
  <si>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</si>
  <si>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</si>
  <si>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</si>
  <si>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</si>
  <si>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</si>
  <si>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</si>
  <si>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</si>
  <si>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</si>
  <si>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</si>
  <si>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</si>
  <si>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</si>
  <si>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</si>
  <si>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</si>
  <si>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</si>
  <si>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</si>
  <si>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</si>
  <si>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</si>
  <si>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</si>
  <si>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</si>
  <si>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</si>
  <si>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</si>
  <si>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</si>
  <si>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</si>
  <si>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</si>
  <si>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</si>
  <si>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</si>
  <si>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</si>
  <si>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</si>
  <si>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</si>
  <si>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</si>
  <si>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</si>
  <si>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</si>
  <si>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</si>
  <si>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</si>
  <si>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</si>
  <si>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</si>
  <si>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</si>
  <si>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</si>
  <si>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</si>
  <si>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</si>
  <si>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</si>
  <si>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</si>
  <si>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</si>
  <si>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</si>
  <si>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</si>
  <si>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</si>
  <si>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</si>
  <si>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</si>
  <si>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</si>
  <si>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</si>
  <si>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</si>
  <si>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</si>
  <si>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</si>
  <si>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</si>
  <si>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</si>
  <si>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</si>
  <si>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</si>
  <si>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</si>
  <si>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</si>
  <si>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</si>
  <si>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</si>
  <si>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</si>
  <si>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</si>
  <si>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</si>
  <si>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</si>
  <si>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</si>
  <si>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</si>
  <si>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</si>
  <si>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</si>
  <si>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</si>
  <si>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</si>
  <si>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</si>
  <si>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</si>
  <si>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</si>
  <si>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</si>
  <si>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</si>
  <si>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</si>
  <si>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</si>
  <si>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</si>
  <si>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</si>
  <si>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</si>
  <si>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</si>
  <si>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</si>
  <si>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</si>
  <si>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</si>
  <si>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</si>
  <si>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</si>
  <si>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</si>
  <si>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</si>
  <si>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</si>
  <si>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</si>
  <si>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</si>
  <si>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</si>
  <si>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</si>
  <si>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</si>
  <si>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</si>
  <si>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</si>
  <si>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</si>
  <si>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</si>
  <si>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</si>
  <si>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</si>
  <si>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</si>
  <si>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</si>
  <si>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</si>
  <si>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</si>
  <si>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</si>
  <si>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</si>
  <si>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</si>
  <si>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</si>
  <si>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</si>
  <si>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</si>
  <si>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</si>
  <si>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</si>
  <si>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</si>
  <si>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</si>
  <si>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</si>
  <si>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</si>
  <si>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</si>
  <si>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</si>
  <si>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</si>
  <si>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</si>
  <si>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</si>
  <si>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</si>
  <si>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</si>
  <si>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</si>
  <si>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</si>
  <si>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</si>
  <si>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</si>
  <si>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</si>
  <si>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</si>
  <si>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</si>
  <si>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</si>
  <si>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</si>
  <si>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</si>
  <si>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</si>
  <si>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</si>
  <si>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</si>
  <si>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</si>
  <si>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</si>
  <si>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</si>
  <si>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</si>
  <si>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</si>
  <si>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</si>
  <si>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</si>
  <si>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</si>
  <si>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</si>
  <si>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</si>
  <si>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</si>
  <si>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</si>
  <si>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</si>
  <si>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</si>
  <si>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</si>
  <si>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</si>
  <si>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</si>
  <si>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</si>
  <si>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</si>
  <si>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</si>
  <si>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</si>
  <si>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</si>
  <si>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</si>
  <si>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</si>
  <si>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</si>
  <si>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</si>
  <si>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</si>
  <si>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</si>
  <si>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</si>
  <si>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</si>
  <si>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</si>
  <si>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</si>
  <si>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</si>
  <si>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</si>
  <si>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</si>
  <si>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</si>
  <si>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</si>
  <si>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</si>
  <si>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</si>
  <si>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</si>
  <si>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</si>
  <si>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</si>
  <si>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</si>
  <si>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</si>
  <si>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</si>
  <si>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</si>
  <si>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</si>
  <si>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</si>
  <si>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</si>
  <si>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</si>
  <si>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</si>
  <si>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</si>
  <si>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</si>
  <si>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</si>
  <si>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</si>
  <si>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</si>
  <si>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</si>
  <si>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</si>
  <si>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</si>
  <si>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</si>
  <si>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</si>
  <si>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</si>
  <si>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</si>
  <si>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</si>
  <si>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</si>
  <si>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</si>
  <si>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</si>
  <si>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</si>
  <si>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</si>
  <si>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</si>
  <si>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</si>
  <si>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</si>
  <si>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Health Benefit Plan of Louisiana, Inc.</t>
  </si>
  <si>
    <t>HUMANA GRP</t>
  </si>
  <si>
    <t>Humana</t>
  </si>
  <si>
    <t>119</t>
  </si>
  <si>
    <t>2015</t>
  </si>
  <si>
    <t>One Galleria Blvd, Suite 850 Metairie, LA 70001</t>
  </si>
  <si>
    <t>721279235</t>
  </si>
  <si>
    <t>095642</t>
  </si>
  <si>
    <t>95642</t>
  </si>
  <si>
    <t>213</t>
  </si>
  <si>
    <t>Humana Insurance Company</t>
  </si>
  <si>
    <t>Humana Insurance of Puerto Rico,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</si>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</sst>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158</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69281596</v>
      </c>
      <c r="E5" s="213">
        <f>SUM('Pt 2 Premium and Claims'!E$5,'Pt 2 Premium and Claims'!E$6,-'Pt 2 Premium and Claims'!E$7,-'Pt 2 Premium and Claims'!E$13,'Pt 2 Premium and Claims'!E$14:'Pt 2 Premium and Claims'!E$17)</f>
        <v>76127081.499999985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49419350</v>
      </c>
      <c r="J5" s="212">
        <f>SUM('Pt 2 Premium and Claims'!J$5,'Pt 2 Premium and Claims'!J$6,-'Pt 2 Premium and Claims'!J$7,-'Pt 2 Premium and Claims'!J$13,'Pt 2 Premium and Claims'!J$14,'Pt 2 Premium and Claims'!J$16:'Pt 2 Premium and Claims'!J$17)</f>
        <v>156390499</v>
      </c>
      <c r="K5" s="213">
        <f>SUM('Pt 2 Premium and Claims'!K$5,'Pt 2 Premium and Claims'!K$6,-'Pt 2 Premium and Claims'!K$7,-'Pt 2 Premium and Claims'!K$13,'Pt 2 Premium and Claims'!K$14,'Pt 2 Premium and Claims'!K$16:'Pt 2 Premium and Claims'!K$17)</f>
        <v>150332525.09</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158766830</v>
      </c>
      <c r="Q5" s="213">
        <f>SUM('Pt 2 Premium and Claims'!Q$5,'Pt 2 Premium and Claims'!Q$6,-'Pt 2 Premium and Claims'!Q$7,-'Pt 2 Premium and Claims'!Q$13,'Pt 2 Premium and Claims'!Q$14)</f>
        <v>163245882.41</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9728151</v>
      </c>
      <c r="AU5" s="214">
        <f>SUM('Pt 2 Premium and Claims'!AU$5,'Pt 2 Premium and Claims'!AU$6,-'Pt 2 Premium and Claims'!AU$7,-'Pt 2 Premium and Claims'!AU$13,'Pt 2 Premium and Claims'!AU$14)</f>
        <v>1445538158</v>
      </c>
      <c r="AV5" s="215"/>
      <c r="AW5" s="296"/>
    </row>
    <row r="6" spans="1:49" x14ac:dyDescent="0.2">
      <c r="B6" s="239" t="s">
        <v>223</v>
      </c>
      <c r="C6" s="203" t="s">
        <v>12</v>
      </c>
      <c r="D6" s="216">
        <v>0</v>
      </c>
      <c r="E6" s="217"/>
      <c r="F6" s="217"/>
      <c r="G6" s="218"/>
      <c r="H6" s="218"/>
      <c r="I6" s="219">
        <v>0</v>
      </c>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-6419</v>
      </c>
      <c r="E7" s="217">
        <v>-6418.88</v>
      </c>
      <c r="F7" s="217"/>
      <c r="G7" s="217"/>
      <c r="H7" s="217"/>
      <c r="I7" s="216">
        <v>0</v>
      </c>
      <c r="J7" s="216">
        <v>-25459</v>
      </c>
      <c r="K7" s="217">
        <v>-25458.5</v>
      </c>
      <c r="L7" s="217"/>
      <c r="M7" s="217"/>
      <c r="N7" s="217"/>
      <c r="O7" s="216"/>
      <c r="P7" s="216">
        <v>-40686</v>
      </c>
      <c r="Q7" s="217">
        <v>-40686.339999999997</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-840</v>
      </c>
      <c r="AU7" s="220">
        <v>0</v>
      </c>
      <c r="AV7" s="290"/>
      <c r="AW7" s="297"/>
    </row>
    <row r="8" spans="1:49" ht="25.5" x14ac:dyDescent="0.2">
      <c r="B8" s="239" t="s">
        <v>225</v>
      </c>
      <c r="C8" s="203" t="s">
        <v>59</v>
      </c>
      <c r="D8" s="216">
        <v>-468583</v>
      </c>
      <c r="E8" s="268"/>
      <c r="F8" s="269"/>
      <c r="G8" s="269"/>
      <c r="H8" s="269"/>
      <c r="I8" s="272"/>
      <c r="J8" s="216">
        <v>-282557</v>
      </c>
      <c r="K8" s="268"/>
      <c r="L8" s="269"/>
      <c r="M8" s="269"/>
      <c r="N8" s="269"/>
      <c r="O8" s="272"/>
      <c r="P8" s="216">
        <v>-192746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-175765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66832861</v>
      </c>
      <c r="E12" s="213">
        <f>'Pt 2 Premium and Claims'!E$54</f>
        <v>70634494.88000001</v>
      </c>
      <c r="F12" s="213">
        <f>'Pt 2 Premium and Claims'!F$54</f>
        <v>0</v>
      </c>
      <c r="G12" s="213">
        <f>'Pt 2 Premium and Claims'!G$54</f>
        <v>0</v>
      </c>
      <c r="H12" s="213">
        <f>'Pt 2 Premium and Claims'!H$54</f>
        <v>0</v>
      </c>
      <c r="I12" s="212">
        <f>'Pt 2 Premium and Claims'!I$54</f>
        <v>49343367</v>
      </c>
      <c r="J12" s="212">
        <f>'Pt 2 Premium and Claims'!J$54</f>
        <v>130183227</v>
      </c>
      <c r="K12" s="213">
        <f>'Pt 2 Premium and Claims'!K$54</f>
        <v>130219511.85000001</v>
      </c>
      <c r="L12" s="213">
        <f>'Pt 2 Premium and Claims'!L$54</f>
        <v>0</v>
      </c>
      <c r="M12" s="213">
        <f>'Pt 2 Premium and Claims'!M$54</f>
        <v>0</v>
      </c>
      <c r="N12" s="213">
        <f>'Pt 2 Premium and Claims'!N$54</f>
        <v>0</v>
      </c>
      <c r="O12" s="212">
        <f>'Pt 2 Premium and Claims'!O$54</f>
        <v>0</v>
      </c>
      <c r="P12" s="212">
        <f>'Pt 2 Premium and Claims'!P$54</f>
        <v>135079593</v>
      </c>
      <c r="Q12" s="213">
        <f>'Pt 2 Premium and Claims'!Q$54</f>
        <v>137042083.11000004</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7932230</v>
      </c>
      <c r="AU12" s="214">
        <f>'Pt 2 Premium and Claims'!AU$54</f>
        <v>1209182577</v>
      </c>
      <c r="AV12" s="291"/>
      <c r="AW12" s="296"/>
    </row>
    <row r="13" spans="1:49" ht="25.5" x14ac:dyDescent="0.2">
      <c r="B13" s="239" t="s">
        <v>230</v>
      </c>
      <c r="C13" s="203" t="s">
        <v>37</v>
      </c>
      <c r="D13" s="216">
        <v>12514265</v>
      </c>
      <c r="E13" s="217">
        <v>13376662.98</v>
      </c>
      <c r="F13" s="217"/>
      <c r="G13" s="268"/>
      <c r="H13" s="269"/>
      <c r="I13" s="216">
        <v>9214038</v>
      </c>
      <c r="J13" s="216">
        <v>31972847</v>
      </c>
      <c r="K13" s="217">
        <v>31267317.800000001</v>
      </c>
      <c r="L13" s="217"/>
      <c r="M13" s="268"/>
      <c r="N13" s="269"/>
      <c r="O13" s="216"/>
      <c r="P13" s="216">
        <v>32900860</v>
      </c>
      <c r="Q13" s="217">
        <v>33762719.600000001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1643</v>
      </c>
      <c r="AU13" s="220">
        <v>183157353</v>
      </c>
      <c r="AV13" s="290"/>
      <c r="AW13" s="297"/>
    </row>
    <row r="14" spans="1:49" ht="25.5" x14ac:dyDescent="0.2">
      <c r="B14" s="239" t="s">
        <v>231</v>
      </c>
      <c r="C14" s="203" t="s">
        <v>6</v>
      </c>
      <c r="D14" s="216">
        <v>1584565</v>
      </c>
      <c r="E14" s="217">
        <v>1524050.8</v>
      </c>
      <c r="F14" s="217"/>
      <c r="G14" s="267"/>
      <c r="H14" s="270"/>
      <c r="I14" s="216">
        <v>1066196</v>
      </c>
      <c r="J14" s="216">
        <v>4167014</v>
      </c>
      <c r="K14" s="217">
        <v>4092250.67</v>
      </c>
      <c r="L14" s="217"/>
      <c r="M14" s="267"/>
      <c r="N14" s="270"/>
      <c r="O14" s="216"/>
      <c r="P14" s="216">
        <v>4250074</v>
      </c>
      <c r="Q14" s="217">
        <v>4390652.9800000004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66735076</v>
      </c>
      <c r="AV14" s="290"/>
      <c r="AW14" s="297"/>
    </row>
    <row r="15" spans="1:49" ht="38.25" x14ac:dyDescent="0.2">
      <c r="B15" s="239" t="s">
        <v>232</v>
      </c>
      <c r="C15" s="203" t="s">
        <v>7</v>
      </c>
      <c r="D15" s="216">
        <v>5124</v>
      </c>
      <c r="E15" s="217">
        <v>5124.09</v>
      </c>
      <c r="F15" s="217"/>
      <c r="G15" s="267"/>
      <c r="H15" s="273"/>
      <c r="I15" s="216">
        <v>3405</v>
      </c>
      <c r="J15" s="216">
        <v>11582</v>
      </c>
      <c r="K15" s="217">
        <v>11211.61</v>
      </c>
      <c r="L15" s="217"/>
      <c r="M15" s="267"/>
      <c r="N15" s="273"/>
      <c r="O15" s="216"/>
      <c r="P15" s="216">
        <v>10991</v>
      </c>
      <c r="Q15" s="217">
        <v>11361.4</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662</v>
      </c>
      <c r="AU15" s="220">
        <v>101828</v>
      </c>
      <c r="AV15" s="290"/>
      <c r="AW15" s="297"/>
    </row>
    <row r="16" spans="1:49" ht="25.5" x14ac:dyDescent="0.2">
      <c r="B16" s="239" t="s">
        <v>233</v>
      </c>
      <c r="C16" s="203" t="s">
        <v>61</v>
      </c>
      <c r="D16" s="216">
        <v>-7384089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3718000</v>
      </c>
      <c r="E17" s="267"/>
      <c r="F17" s="270"/>
      <c r="G17" s="270"/>
      <c r="H17" s="270"/>
      <c r="I17" s="271"/>
      <c r="J17" s="216">
        <v>-627440</v>
      </c>
      <c r="K17" s="267"/>
      <c r="L17" s="270"/>
      <c r="M17" s="270"/>
      <c r="N17" s="270"/>
      <c r="O17" s="271"/>
      <c r="P17" s="216">
        <v>-2675000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32560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115584</v>
      </c>
      <c r="E22" s="222">
        <f>'Pt 2 Premium and Claims'!E$55</f>
        <v>115584.37</v>
      </c>
      <c r="F22" s="222">
        <f>'Pt 2 Premium and Claims'!F$55</f>
        <v>0</v>
      </c>
      <c r="G22" s="222">
        <f>'Pt 2 Premium and Claims'!G$55</f>
        <v>0</v>
      </c>
      <c r="H22" s="222">
        <f>'Pt 2 Premium and Claims'!H$55</f>
        <v>0</v>
      </c>
      <c r="I22" s="221">
        <f>'Pt 2 Premium and Claims'!I$55</f>
        <v>31113</v>
      </c>
      <c r="J22" s="221">
        <f>'Pt 2 Premium and Claims'!J$55</f>
        <v>243132.19</v>
      </c>
      <c r="K22" s="222">
        <f>'Pt 2 Premium and Claims'!K$55</f>
        <v>234900.05</v>
      </c>
      <c r="L22" s="222">
        <f>'Pt 2 Premium and Claims'!L$55</f>
        <v>0</v>
      </c>
      <c r="M22" s="222">
        <f>'Pt 2 Premium and Claims'!M$55</f>
        <v>0</v>
      </c>
      <c r="N22" s="222">
        <f>'Pt 2 Premium and Claims'!N$55</f>
        <v>0</v>
      </c>
      <c r="O22" s="221">
        <f>'Pt 2 Premium and Claims'!O$55</f>
        <v>0</v>
      </c>
      <c r="P22" s="221">
        <f>'Pt 2 Premium and Claims'!P$55</f>
        <v>216446.18</v>
      </c>
      <c r="Q22" s="222">
        <f>'Pt 2 Premium and Claims'!Q$55</f>
        <v>224678.32</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-1662965.92</v>
      </c>
      <c r="E25" s="217">
        <v>-1662965.71</v>
      </c>
      <c r="F25" s="217"/>
      <c r="G25" s="217"/>
      <c r="H25" s="217"/>
      <c r="I25" s="216">
        <v>-720980</v>
      </c>
      <c r="J25" s="216">
        <v>-1315929.02</v>
      </c>
      <c r="K25" s="217">
        <v>-1184479.8799999999</v>
      </c>
      <c r="L25" s="217"/>
      <c r="M25" s="217"/>
      <c r="N25" s="217"/>
      <c r="O25" s="216"/>
      <c r="P25" s="216">
        <v>1683890.55</v>
      </c>
      <c r="Q25" s="217">
        <v>1552452.39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-54175.22</v>
      </c>
      <c r="AU25" s="220">
        <v>33823049.890000001</v>
      </c>
      <c r="AV25" s="220"/>
      <c r="AW25" s="297"/>
    </row>
    <row r="26" spans="1:49" s="5" customFormat="1" x14ac:dyDescent="0.2">
      <c r="A26" s="35"/>
      <c r="B26" s="242" t="s">
        <v>242</v>
      </c>
      <c r="C26" s="203"/>
      <c r="D26" s="216">
        <v>42669.38</v>
      </c>
      <c r="E26" s="217">
        <v>42669.38</v>
      </c>
      <c r="F26" s="217"/>
      <c r="G26" s="217"/>
      <c r="H26" s="217"/>
      <c r="I26" s="216">
        <v>13155</v>
      </c>
      <c r="J26" s="216">
        <v>77907.34</v>
      </c>
      <c r="K26" s="217">
        <v>74935.179999999993</v>
      </c>
      <c r="L26" s="217"/>
      <c r="M26" s="217"/>
      <c r="N26" s="217"/>
      <c r="O26" s="216"/>
      <c r="P26" s="216">
        <v>67780.12</v>
      </c>
      <c r="Q26" s="217">
        <v>70752.28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1211127.7</v>
      </c>
      <c r="E27" s="217">
        <v>1211127.7</v>
      </c>
      <c r="F27" s="217"/>
      <c r="G27" s="217"/>
      <c r="H27" s="217"/>
      <c r="I27" s="216">
        <v>803311</v>
      </c>
      <c r="J27" s="216">
        <v>2746717.88</v>
      </c>
      <c r="K27" s="217">
        <v>2659353.0099999998</v>
      </c>
      <c r="L27" s="217"/>
      <c r="M27" s="217"/>
      <c r="N27" s="217"/>
      <c r="O27" s="216"/>
      <c r="P27" s="216">
        <v>2580432.1800000002</v>
      </c>
      <c r="Q27" s="217">
        <v>2667797.0499999998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44819.31</v>
      </c>
      <c r="AU27" s="220">
        <v>24148032.82</v>
      </c>
      <c r="AV27" s="293"/>
      <c r="AW27" s="297"/>
    </row>
    <row r="28" spans="1:49" s="5" customFormat="1" x14ac:dyDescent="0.2">
      <c r="A28" s="35"/>
      <c r="B28" s="242" t="s">
        <v>244</v>
      </c>
      <c r="C28" s="203"/>
      <c r="D28" s="216">
        <v>227218.94</v>
      </c>
      <c r="E28" s="217">
        <v>227218.94</v>
      </c>
      <c r="F28" s="217"/>
      <c r="G28" s="217"/>
      <c r="H28" s="217"/>
      <c r="I28" s="216">
        <v>103452</v>
      </c>
      <c r="J28" s="216">
        <v>290971.82</v>
      </c>
      <c r="K28" s="217">
        <v>281056.31</v>
      </c>
      <c r="L28" s="217"/>
      <c r="M28" s="217"/>
      <c r="N28" s="217"/>
      <c r="O28" s="216"/>
      <c r="P28" s="216">
        <v>283578.39</v>
      </c>
      <c r="Q28" s="217">
        <v>293493.90000000002</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21750.05</v>
      </c>
      <c r="AU28" s="220">
        <v>2192367.7200000002</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-94580.29</v>
      </c>
      <c r="E30" s="217">
        <v>-94580.27</v>
      </c>
      <c r="F30" s="217"/>
      <c r="G30" s="217"/>
      <c r="H30" s="217"/>
      <c r="I30" s="216">
        <v>-40161</v>
      </c>
      <c r="J30" s="216">
        <v>-60074.89</v>
      </c>
      <c r="K30" s="217">
        <v>-51640.97</v>
      </c>
      <c r="L30" s="217"/>
      <c r="M30" s="217"/>
      <c r="N30" s="217"/>
      <c r="O30" s="216"/>
      <c r="P30" s="216">
        <v>159663.57999999999</v>
      </c>
      <c r="Q30" s="217">
        <v>151230.46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-1501.03</v>
      </c>
      <c r="AU30" s="220">
        <v>2764658.01</v>
      </c>
      <c r="AV30" s="220"/>
      <c r="AW30" s="297"/>
    </row>
    <row r="31" spans="1:49" x14ac:dyDescent="0.2">
      <c r="B31" s="242" t="s">
        <v>247</v>
      </c>
      <c r="C31" s="203"/>
      <c r="D31" s="216">
        <v>82120.25</v>
      </c>
      <c r="E31" s="217">
        <v>82120.25</v>
      </c>
      <c r="F31" s="217"/>
      <c r="G31" s="217"/>
      <c r="H31" s="217"/>
      <c r="I31" s="216">
        <v>54654</v>
      </c>
      <c r="J31" s="216">
        <v>186403.88</v>
      </c>
      <c r="K31" s="217">
        <v>180298.4</v>
      </c>
      <c r="L31" s="217"/>
      <c r="M31" s="217"/>
      <c r="N31" s="217"/>
      <c r="O31" s="216"/>
      <c r="P31" s="216">
        <v>171022.41</v>
      </c>
      <c r="Q31" s="217">
        <v>177127.89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10569.1</v>
      </c>
      <c r="AU31" s="220">
        <v>0</v>
      </c>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594939.94999999995</v>
      </c>
      <c r="E34" s="217">
        <v>915567.94</v>
      </c>
      <c r="F34" s="217"/>
      <c r="G34" s="217"/>
      <c r="H34" s="217"/>
      <c r="I34" s="216">
        <v>427893</v>
      </c>
      <c r="J34" s="216">
        <v>1614114.76</v>
      </c>
      <c r="K34" s="217">
        <v>1557429.82</v>
      </c>
      <c r="L34" s="217"/>
      <c r="M34" s="217"/>
      <c r="N34" s="217"/>
      <c r="O34" s="216"/>
      <c r="P34" s="216">
        <v>1261031.3600000001</v>
      </c>
      <c r="Q34" s="217">
        <v>1317716.3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1316709.55</v>
      </c>
      <c r="E35" s="217">
        <v>1316709.55</v>
      </c>
      <c r="F35" s="217"/>
      <c r="G35" s="217"/>
      <c r="H35" s="217"/>
      <c r="I35" s="216">
        <v>1277474</v>
      </c>
      <c r="J35" s="216">
        <v>115646.37</v>
      </c>
      <c r="K35" s="217">
        <v>112130.57</v>
      </c>
      <c r="L35" s="217"/>
      <c r="M35" s="217"/>
      <c r="N35" s="217"/>
      <c r="O35" s="216"/>
      <c r="P35" s="216">
        <v>96648.53</v>
      </c>
      <c r="Q35" s="217">
        <v>100164.33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16685.990000000002</v>
      </c>
      <c r="AU35" s="220">
        <v>764945.74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265648</v>
      </c>
      <c r="E37" s="225">
        <v>265647.52</v>
      </c>
      <c r="F37" s="225"/>
      <c r="G37" s="225"/>
      <c r="H37" s="225"/>
      <c r="I37" s="224">
        <v>123226</v>
      </c>
      <c r="J37" s="224">
        <v>401551</v>
      </c>
      <c r="K37" s="225">
        <v>381977.88</v>
      </c>
      <c r="L37" s="225"/>
      <c r="M37" s="225"/>
      <c r="N37" s="225"/>
      <c r="O37" s="224"/>
      <c r="P37" s="224">
        <v>608210</v>
      </c>
      <c r="Q37" s="225">
        <v>627782.5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384</v>
      </c>
      <c r="AU37" s="226">
        <v>9492680</v>
      </c>
      <c r="AV37" s="226">
        <v>0</v>
      </c>
      <c r="AW37" s="296"/>
    </row>
    <row r="38" spans="1:49" x14ac:dyDescent="0.2">
      <c r="B38" s="239" t="s">
        <v>254</v>
      </c>
      <c r="C38" s="203" t="s">
        <v>16</v>
      </c>
      <c r="D38" s="216">
        <v>72684</v>
      </c>
      <c r="E38" s="217">
        <v>72683.89</v>
      </c>
      <c r="F38" s="217"/>
      <c r="G38" s="217"/>
      <c r="H38" s="217"/>
      <c r="I38" s="216">
        <v>30038</v>
      </c>
      <c r="J38" s="216">
        <v>24681</v>
      </c>
      <c r="K38" s="217">
        <v>19431.59</v>
      </c>
      <c r="L38" s="217"/>
      <c r="M38" s="217"/>
      <c r="N38" s="217"/>
      <c r="O38" s="216"/>
      <c r="P38" s="216">
        <v>246622</v>
      </c>
      <c r="Q38" s="217">
        <v>251872.18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3960098</v>
      </c>
      <c r="AV38" s="220">
        <v>0</v>
      </c>
      <c r="AW38" s="297"/>
    </row>
    <row r="39" spans="1:49" x14ac:dyDescent="0.2">
      <c r="B39" s="242" t="s">
        <v>255</v>
      </c>
      <c r="C39" s="203" t="s">
        <v>17</v>
      </c>
      <c r="D39" s="216">
        <v>103511</v>
      </c>
      <c r="E39" s="217">
        <v>103511.39</v>
      </c>
      <c r="F39" s="217"/>
      <c r="G39" s="217"/>
      <c r="H39" s="217"/>
      <c r="I39" s="216">
        <v>51857</v>
      </c>
      <c r="J39" s="216">
        <v>211538</v>
      </c>
      <c r="K39" s="217">
        <v>204017.91</v>
      </c>
      <c r="L39" s="217"/>
      <c r="M39" s="217"/>
      <c r="N39" s="217"/>
      <c r="O39" s="216"/>
      <c r="P39" s="216">
        <v>203003</v>
      </c>
      <c r="Q39" s="217">
        <v>210523.28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928</v>
      </c>
      <c r="AU39" s="220">
        <v>2654799</v>
      </c>
      <c r="AV39" s="220">
        <v>0</v>
      </c>
      <c r="AW39" s="297"/>
    </row>
    <row r="40" spans="1:49" x14ac:dyDescent="0.2">
      <c r="B40" s="242" t="s">
        <v>256</v>
      </c>
      <c r="C40" s="203" t="s">
        <v>38</v>
      </c>
      <c r="D40" s="216">
        <v>466814</v>
      </c>
      <c r="E40" s="217">
        <v>466813.97</v>
      </c>
      <c r="F40" s="217"/>
      <c r="G40" s="217"/>
      <c r="H40" s="217"/>
      <c r="I40" s="216">
        <v>240327</v>
      </c>
      <c r="J40" s="216">
        <v>1654462</v>
      </c>
      <c r="K40" s="217">
        <v>1592435.29</v>
      </c>
      <c r="L40" s="217"/>
      <c r="M40" s="217"/>
      <c r="N40" s="217"/>
      <c r="O40" s="216"/>
      <c r="P40" s="216">
        <v>1537904</v>
      </c>
      <c r="Q40" s="217">
        <v>1599930.32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5927</v>
      </c>
      <c r="AU40" s="220">
        <v>9892714</v>
      </c>
      <c r="AV40" s="220">
        <v>0</v>
      </c>
      <c r="AW40" s="297"/>
    </row>
    <row r="41" spans="1:49" s="5" customFormat="1" ht="25.5" x14ac:dyDescent="0.2">
      <c r="A41" s="35"/>
      <c r="B41" s="242" t="s">
        <v>257</v>
      </c>
      <c r="C41" s="203" t="s">
        <v>129</v>
      </c>
      <c r="D41" s="216">
        <v>130329</v>
      </c>
      <c r="E41" s="217">
        <v>130329.46</v>
      </c>
      <c r="F41" s="217"/>
      <c r="G41" s="217"/>
      <c r="H41" s="217"/>
      <c r="I41" s="216">
        <v>49645</v>
      </c>
      <c r="J41" s="216">
        <v>244150</v>
      </c>
      <c r="K41" s="217">
        <v>235749.51</v>
      </c>
      <c r="L41" s="217"/>
      <c r="M41" s="217"/>
      <c r="N41" s="217"/>
      <c r="O41" s="216"/>
      <c r="P41" s="216">
        <v>192741</v>
      </c>
      <c r="Q41" s="217">
        <v>201140.83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11318</v>
      </c>
      <c r="AU41" s="220">
        <v>1678211</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871192</v>
      </c>
      <c r="E44" s="225">
        <v>871192.44</v>
      </c>
      <c r="F44" s="225"/>
      <c r="G44" s="225"/>
      <c r="H44" s="225"/>
      <c r="I44" s="224">
        <v>506980</v>
      </c>
      <c r="J44" s="224">
        <v>1709762</v>
      </c>
      <c r="K44" s="225">
        <v>1652947.17</v>
      </c>
      <c r="L44" s="225"/>
      <c r="M44" s="225"/>
      <c r="N44" s="225"/>
      <c r="O44" s="224"/>
      <c r="P44" s="224">
        <v>1526308</v>
      </c>
      <c r="Q44" s="225">
        <v>1583123.24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27690</v>
      </c>
      <c r="AU44" s="226">
        <v>12896909</v>
      </c>
      <c r="AV44" s="226">
        <v>0</v>
      </c>
      <c r="AW44" s="296"/>
    </row>
    <row r="45" spans="1:49" x14ac:dyDescent="0.2">
      <c r="B45" s="245" t="s">
        <v>261</v>
      </c>
      <c r="C45" s="203" t="s">
        <v>19</v>
      </c>
      <c r="D45" s="216">
        <v>829402</v>
      </c>
      <c r="E45" s="217">
        <v>829401.97</v>
      </c>
      <c r="F45" s="217"/>
      <c r="G45" s="217"/>
      <c r="H45" s="217"/>
      <c r="I45" s="216">
        <v>441266</v>
      </c>
      <c r="J45" s="216">
        <v>1098185</v>
      </c>
      <c r="K45" s="217">
        <v>1061735.68</v>
      </c>
      <c r="L45" s="217"/>
      <c r="M45" s="217"/>
      <c r="N45" s="217"/>
      <c r="O45" s="216"/>
      <c r="P45" s="216">
        <v>1017920</v>
      </c>
      <c r="Q45" s="217">
        <v>1054369.1599999999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64755</v>
      </c>
      <c r="AU45" s="220">
        <v>8427152</v>
      </c>
      <c r="AV45" s="220">
        <v>0</v>
      </c>
      <c r="AW45" s="297"/>
    </row>
    <row r="46" spans="1:49" x14ac:dyDescent="0.2">
      <c r="B46" s="245" t="s">
        <v>262</v>
      </c>
      <c r="C46" s="203" t="s">
        <v>20</v>
      </c>
      <c r="D46" s="216">
        <v>235763</v>
      </c>
      <c r="E46" s="217">
        <v>235763.71</v>
      </c>
      <c r="F46" s="217"/>
      <c r="G46" s="217"/>
      <c r="H46" s="217"/>
      <c r="I46" s="216">
        <v>193853</v>
      </c>
      <c r="J46" s="216">
        <v>680264</v>
      </c>
      <c r="K46" s="217">
        <v>657399.6</v>
      </c>
      <c r="L46" s="217"/>
      <c r="M46" s="217"/>
      <c r="N46" s="217"/>
      <c r="O46" s="216"/>
      <c r="P46" s="216">
        <v>665333</v>
      </c>
      <c r="Q46" s="217">
        <v>688197.35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38136</v>
      </c>
      <c r="AU46" s="220">
        <v>10597258</v>
      </c>
      <c r="AV46" s="220">
        <v>0</v>
      </c>
      <c r="AW46" s="297"/>
    </row>
    <row r="47" spans="1:49" x14ac:dyDescent="0.2">
      <c r="B47" s="245" t="s">
        <v>263</v>
      </c>
      <c r="C47" s="203" t="s">
        <v>21</v>
      </c>
      <c r="D47" s="216">
        <v>2275327</v>
      </c>
      <c r="E47" s="217">
        <v>2275327.0299999998</v>
      </c>
      <c r="F47" s="217"/>
      <c r="G47" s="217"/>
      <c r="H47" s="217"/>
      <c r="I47" s="216">
        <v>1146044</v>
      </c>
      <c r="J47" s="216">
        <v>8738590</v>
      </c>
      <c r="K47" s="217">
        <v>8415447.6999999993</v>
      </c>
      <c r="L47" s="217"/>
      <c r="M47" s="217"/>
      <c r="N47" s="217"/>
      <c r="O47" s="216"/>
      <c r="P47" s="216">
        <v>6529952</v>
      </c>
      <c r="Q47" s="217">
        <v>6853094.3499999996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689753</v>
      </c>
      <c r="AU47" s="220">
        <v>13882558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-10570.02</v>
      </c>
      <c r="E49" s="217">
        <v>-10570.02</v>
      </c>
      <c r="F49" s="217"/>
      <c r="G49" s="217"/>
      <c r="H49" s="217"/>
      <c r="I49" s="216">
        <v>464</v>
      </c>
      <c r="J49" s="216">
        <v>-8275.09</v>
      </c>
      <c r="K49" s="217">
        <v>-8276.98</v>
      </c>
      <c r="L49" s="217"/>
      <c r="M49" s="217"/>
      <c r="N49" s="217"/>
      <c r="O49" s="216"/>
      <c r="P49" s="216">
        <v>10801.04</v>
      </c>
      <c r="Q49" s="217">
        <v>10802.93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-341.74</v>
      </c>
      <c r="AU49" s="220">
        <v>216281</v>
      </c>
      <c r="AV49" s="220"/>
      <c r="AW49" s="297"/>
    </row>
    <row r="50" spans="2:49" ht="25.5" x14ac:dyDescent="0.2">
      <c r="B50" s="239" t="s">
        <v>265</v>
      </c>
      <c r="C50" s="203"/>
      <c r="D50" s="216"/>
      <c r="E50" s="217"/>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52198.22</v>
      </c>
      <c r="AV50" s="220"/>
      <c r="AW50" s="297"/>
    </row>
    <row r="51" spans="2:49" x14ac:dyDescent="0.2">
      <c r="B51" s="239" t="s">
        <v>266</v>
      </c>
      <c r="C51" s="203"/>
      <c r="D51" s="216">
        <v>6314340</v>
      </c>
      <c r="E51" s="217">
        <v>6314339.6200000001</v>
      </c>
      <c r="F51" s="217"/>
      <c r="G51" s="217"/>
      <c r="H51" s="217"/>
      <c r="I51" s="216">
        <v>2970577</v>
      </c>
      <c r="J51" s="216">
        <v>9261576</v>
      </c>
      <c r="K51" s="217">
        <v>8974071.3100000005</v>
      </c>
      <c r="L51" s="217"/>
      <c r="M51" s="217"/>
      <c r="N51" s="217"/>
      <c r="O51" s="216"/>
      <c r="P51" s="216">
        <v>7829519</v>
      </c>
      <c r="Q51" s="217">
        <v>8117023.8700000001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532856</v>
      </c>
      <c r="AU51" s="220">
        <v>59052265</v>
      </c>
      <c r="AV51" s="220">
        <v>0</v>
      </c>
      <c r="AW51" s="297"/>
    </row>
    <row r="52" spans="2:49" ht="25.5" x14ac:dyDescent="0.2">
      <c r="B52" s="239" t="s">
        <v>267</v>
      </c>
      <c r="C52" s="203" t="s">
        <v>89</v>
      </c>
      <c r="D52" s="216">
        <v>0</v>
      </c>
      <c r="E52" s="217"/>
      <c r="F52" s="217"/>
      <c r="G52" s="217"/>
      <c r="H52" s="217"/>
      <c r="I52" s="216">
        <v>0</v>
      </c>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v>0</v>
      </c>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12666</v>
      </c>
      <c r="E56" s="229">
        <v>12666</v>
      </c>
      <c r="F56" s="229"/>
      <c r="G56" s="229"/>
      <c r="H56" s="229"/>
      <c r="I56" s="228">
        <v>6766</v>
      </c>
      <c r="J56" s="228">
        <v>22999</v>
      </c>
      <c r="K56" s="229">
        <v>23330</v>
      </c>
      <c r="L56" s="229"/>
      <c r="M56" s="229"/>
      <c r="N56" s="229"/>
      <c r="O56" s="228"/>
      <c r="P56" s="228">
        <v>17507</v>
      </c>
      <c r="Q56" s="229">
        <v>17177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34036</v>
      </c>
      <c r="AU56" s="230">
        <v>134632</v>
      </c>
      <c r="AV56" s="230">
        <v>0</v>
      </c>
      <c r="AW56" s="288"/>
    </row>
    <row r="57" spans="2:49" x14ac:dyDescent="0.2">
      <c r="B57" s="245" t="s">
        <v>272</v>
      </c>
      <c r="C57" s="203" t="s">
        <v>25</v>
      </c>
      <c r="D57" s="231">
        <v>19120</v>
      </c>
      <c r="E57" s="232">
        <v>19120</v>
      </c>
      <c r="F57" s="232"/>
      <c r="G57" s="232"/>
      <c r="H57" s="232"/>
      <c r="I57" s="231">
        <v>9274</v>
      </c>
      <c r="J57" s="231">
        <v>38459</v>
      </c>
      <c r="K57" s="232">
        <v>37061</v>
      </c>
      <c r="L57" s="232"/>
      <c r="M57" s="232"/>
      <c r="N57" s="232"/>
      <c r="O57" s="231"/>
      <c r="P57" s="231">
        <v>29413</v>
      </c>
      <c r="Q57" s="232">
        <v>30811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55347</v>
      </c>
      <c r="AU57" s="233">
        <v>134632</v>
      </c>
      <c r="AV57" s="233">
        <v>0</v>
      </c>
      <c r="AW57" s="289"/>
    </row>
    <row r="58" spans="2:49" x14ac:dyDescent="0.2">
      <c r="B58" s="245" t="s">
        <v>273</v>
      </c>
      <c r="C58" s="203" t="s">
        <v>26</v>
      </c>
      <c r="D58" s="309"/>
      <c r="E58" s="310"/>
      <c r="F58" s="310"/>
      <c r="G58" s="310"/>
      <c r="H58" s="310"/>
      <c r="I58" s="309"/>
      <c r="J58" s="231">
        <v>1619</v>
      </c>
      <c r="K58" s="232">
        <v>1619</v>
      </c>
      <c r="L58" s="232"/>
      <c r="M58" s="232"/>
      <c r="N58" s="232"/>
      <c r="O58" s="231"/>
      <c r="P58" s="231">
        <v>111</v>
      </c>
      <c r="Q58" s="232">
        <v>111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539</v>
      </c>
      <c r="AU58" s="233">
        <v>22</v>
      </c>
      <c r="AV58" s="233">
        <v>0</v>
      </c>
      <c r="AW58" s="289"/>
    </row>
    <row r="59" spans="2:49" x14ac:dyDescent="0.2">
      <c r="B59" s="245" t="s">
        <v>274</v>
      </c>
      <c r="C59" s="203" t="s">
        <v>27</v>
      </c>
      <c r="D59" s="231">
        <v>248116</v>
      </c>
      <c r="E59" s="232">
        <v>248033</v>
      </c>
      <c r="F59" s="232"/>
      <c r="G59" s="232"/>
      <c r="H59" s="232"/>
      <c r="I59" s="231">
        <v>119553</v>
      </c>
      <c r="J59" s="231">
        <v>449078</v>
      </c>
      <c r="K59" s="232">
        <v>434330</v>
      </c>
      <c r="L59" s="232"/>
      <c r="M59" s="232"/>
      <c r="N59" s="232"/>
      <c r="O59" s="231"/>
      <c r="P59" s="231">
        <v>352582</v>
      </c>
      <c r="Q59" s="232">
        <v>367029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589686</v>
      </c>
      <c r="AU59" s="233">
        <v>1572667</v>
      </c>
      <c r="AV59" s="233">
        <v>0</v>
      </c>
      <c r="AW59" s="289"/>
    </row>
    <row r="60" spans="2:49" x14ac:dyDescent="0.2">
      <c r="B60" s="245" t="s">
        <v>275</v>
      </c>
      <c r="C60" s="203"/>
      <c r="D60" s="234">
        <f t="shared" ref="D60:AC60" si="0">D$59/12</f>
        <v>20676.333333333332</v>
      </c>
      <c r="E60" s="235">
        <f t="shared" si="0"/>
        <v>20669.416666666668</v>
      </c>
      <c r="F60" s="235">
        <f t="shared" si="0"/>
        <v>0</v>
      </c>
      <c r="G60" s="235">
        <f t="shared" si="0"/>
        <v>0</v>
      </c>
      <c r="H60" s="235">
        <f t="shared" si="0"/>
        <v>0</v>
      </c>
      <c r="I60" s="234">
        <f t="shared" si="0"/>
        <v>9962.75</v>
      </c>
      <c r="J60" s="234">
        <f t="shared" si="0"/>
        <v>37423.166666666664</v>
      </c>
      <c r="K60" s="235">
        <f t="shared" si="0"/>
        <v>36194.166666666664</v>
      </c>
      <c r="L60" s="235">
        <f t="shared" si="0"/>
        <v>0</v>
      </c>
      <c r="M60" s="235">
        <f t="shared" si="0"/>
        <v>0</v>
      </c>
      <c r="N60" s="235">
        <f t="shared" si="0"/>
        <v>0</v>
      </c>
      <c r="O60" s="234">
        <f t="shared" si="0"/>
        <v>0</v>
      </c>
      <c r="P60" s="234">
        <f t="shared" si="0"/>
        <v>29381.833333333332</v>
      </c>
      <c r="Q60" s="235">
        <f t="shared" si="0"/>
        <v>30585.75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49140.5</v>
      </c>
      <c r="AU60" s="236">
        <f t="shared" si="1"/>
        <v>131055.58333333333</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69296153</v>
      </c>
      <c r="E5" s="326">
        <v>72076866.849999994</v>
      </c>
      <c r="F5" s="326"/>
      <c r="G5" s="328"/>
      <c r="H5" s="328"/>
      <c r="I5" s="325">
        <v>45369135</v>
      </c>
      <c r="J5" s="325">
        <v>156390499</v>
      </c>
      <c r="K5" s="326">
        <v>155091545.31</v>
      </c>
      <c r="L5" s="326"/>
      <c r="M5" s="326"/>
      <c r="N5" s="326"/>
      <c r="O5" s="325"/>
      <c r="P5" s="325">
        <v>158766830</v>
      </c>
      <c r="Q5" s="326">
        <v>163245882.41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9728151</v>
      </c>
      <c r="AU5" s="327">
        <v>1445538158</v>
      </c>
      <c r="AV5" s="369"/>
      <c r="AW5" s="373"/>
    </row>
    <row r="6" spans="2:49" x14ac:dyDescent="0.2">
      <c r="B6" s="343" t="s">
        <v>278</v>
      </c>
      <c r="C6" s="331" t="s">
        <v>8</v>
      </c>
      <c r="D6" s="318">
        <v>77559</v>
      </c>
      <c r="E6" s="319"/>
      <c r="F6" s="319"/>
      <c r="G6" s="320"/>
      <c r="H6" s="320"/>
      <c r="I6" s="318">
        <v>0</v>
      </c>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92116</v>
      </c>
      <c r="E7" s="319"/>
      <c r="F7" s="319"/>
      <c r="G7" s="320"/>
      <c r="H7" s="320"/>
      <c r="I7" s="318">
        <v>0</v>
      </c>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-44913</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-25159338</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-2857968</v>
      </c>
      <c r="E11" s="319"/>
      <c r="F11" s="319"/>
      <c r="G11" s="319"/>
      <c r="H11" s="319"/>
      <c r="I11" s="318">
        <v>0</v>
      </c>
      <c r="J11" s="318">
        <v>0</v>
      </c>
      <c r="K11" s="319"/>
      <c r="L11" s="319"/>
      <c r="M11" s="319"/>
      <c r="N11" s="319"/>
      <c r="O11" s="318"/>
      <c r="P11" s="318">
        <v>0</v>
      </c>
      <c r="Q11" s="319">
        <v>-153017.94</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3489924</v>
      </c>
      <c r="AV11" s="368"/>
      <c r="AW11" s="374"/>
    </row>
    <row r="12" spans="2:49" ht="15" customHeight="1" x14ac:dyDescent="0.2">
      <c r="B12" s="343" t="s">
        <v>282</v>
      </c>
      <c r="C12" s="331" t="s">
        <v>44</v>
      </c>
      <c r="D12" s="318">
        <v>-482292</v>
      </c>
      <c r="E12" s="363"/>
      <c r="F12" s="363"/>
      <c r="G12" s="363"/>
      <c r="H12" s="363"/>
      <c r="I12" s="365"/>
      <c r="J12" s="318">
        <v>32560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-25300090</v>
      </c>
      <c r="AV12" s="368"/>
      <c r="AW12" s="374"/>
    </row>
    <row r="13" spans="2:49" x14ac:dyDescent="0.2">
      <c r="B13" s="343" t="s">
        <v>283</v>
      </c>
      <c r="C13" s="331" t="s">
        <v>10</v>
      </c>
      <c r="D13" s="318">
        <v>0</v>
      </c>
      <c r="E13" s="319"/>
      <c r="F13" s="319"/>
      <c r="G13" s="319"/>
      <c r="H13" s="319"/>
      <c r="I13" s="318">
        <v>0</v>
      </c>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v>0</v>
      </c>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6596325.1900000004</v>
      </c>
      <c r="F15" s="319"/>
      <c r="G15" s="319"/>
      <c r="H15" s="319"/>
      <c r="I15" s="318">
        <v>6596325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-2546110.54</v>
      </c>
      <c r="F16" s="319"/>
      <c r="G16" s="319"/>
      <c r="H16" s="319"/>
      <c r="I16" s="318">
        <v>-2546110</v>
      </c>
      <c r="J16" s="318"/>
      <c r="K16" s="319">
        <v>-4759020.22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v>0</v>
      </c>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v>0</v>
      </c>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27522101.359999999</v>
      </c>
      <c r="F20" s="319"/>
      <c r="G20" s="319"/>
      <c r="H20" s="319"/>
      <c r="I20" s="318">
        <v>27522274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69241573</v>
      </c>
      <c r="E23" s="362"/>
      <c r="F23" s="362"/>
      <c r="G23" s="362"/>
      <c r="H23" s="362"/>
      <c r="I23" s="364"/>
      <c r="J23" s="318">
        <v>131645946</v>
      </c>
      <c r="K23" s="362"/>
      <c r="L23" s="362"/>
      <c r="M23" s="362"/>
      <c r="N23" s="362"/>
      <c r="O23" s="364"/>
      <c r="P23" s="318">
        <v>132923474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8083269</v>
      </c>
      <c r="AU23" s="321">
        <v>1196264238</v>
      </c>
      <c r="AV23" s="368"/>
      <c r="AW23" s="374"/>
    </row>
    <row r="24" spans="2:49" ht="28.5" customHeight="1" x14ac:dyDescent="0.2">
      <c r="B24" s="345" t="s">
        <v>114</v>
      </c>
      <c r="C24" s="331"/>
      <c r="D24" s="365"/>
      <c r="E24" s="319">
        <v>71334038.659999996</v>
      </c>
      <c r="F24" s="319"/>
      <c r="G24" s="319"/>
      <c r="H24" s="319"/>
      <c r="I24" s="318">
        <v>48950393</v>
      </c>
      <c r="J24" s="365"/>
      <c r="K24" s="319">
        <v>132412642.13</v>
      </c>
      <c r="L24" s="319"/>
      <c r="M24" s="319"/>
      <c r="N24" s="319"/>
      <c r="O24" s="318"/>
      <c r="P24" s="365"/>
      <c r="Q24" s="319">
        <v>140123810.96000001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9263818</v>
      </c>
      <c r="E26" s="362"/>
      <c r="F26" s="362"/>
      <c r="G26" s="362"/>
      <c r="H26" s="362"/>
      <c r="I26" s="364"/>
      <c r="J26" s="318">
        <v>14103020</v>
      </c>
      <c r="K26" s="362"/>
      <c r="L26" s="362"/>
      <c r="M26" s="362"/>
      <c r="N26" s="362"/>
      <c r="O26" s="364"/>
      <c r="P26" s="318">
        <v>14223289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977393</v>
      </c>
      <c r="AU26" s="321">
        <v>123104364</v>
      </c>
      <c r="AV26" s="368"/>
      <c r="AW26" s="374"/>
    </row>
    <row r="27" spans="2:49" s="5" customFormat="1" ht="25.5" x14ac:dyDescent="0.2">
      <c r="B27" s="345" t="s">
        <v>85</v>
      </c>
      <c r="C27" s="331"/>
      <c r="D27" s="365"/>
      <c r="E27" s="319">
        <v>1769590.93</v>
      </c>
      <c r="F27" s="319"/>
      <c r="G27" s="319"/>
      <c r="H27" s="319"/>
      <c r="I27" s="318">
        <v>1459170</v>
      </c>
      <c r="J27" s="365"/>
      <c r="K27" s="319">
        <v>1893223.15</v>
      </c>
      <c r="L27" s="319"/>
      <c r="M27" s="319"/>
      <c r="N27" s="319"/>
      <c r="O27" s="318"/>
      <c r="P27" s="365"/>
      <c r="Q27" s="319">
        <v>1467494.46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8038497</v>
      </c>
      <c r="E28" s="363"/>
      <c r="F28" s="363"/>
      <c r="G28" s="363"/>
      <c r="H28" s="363"/>
      <c r="I28" s="365"/>
      <c r="J28" s="318">
        <v>14332129</v>
      </c>
      <c r="K28" s="363"/>
      <c r="L28" s="363"/>
      <c r="M28" s="363"/>
      <c r="N28" s="363"/>
      <c r="O28" s="365"/>
      <c r="P28" s="318">
        <v>12075194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1128311</v>
      </c>
      <c r="AU28" s="321">
        <v>108593078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35551</v>
      </c>
      <c r="K30" s="362"/>
      <c r="L30" s="362"/>
      <c r="M30" s="362"/>
      <c r="N30" s="362"/>
      <c r="O30" s="364"/>
      <c r="P30" s="318">
        <v>6449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v>0</v>
      </c>
      <c r="J31" s="365"/>
      <c r="K31" s="319">
        <v>1551.4</v>
      </c>
      <c r="L31" s="319"/>
      <c r="M31" s="319"/>
      <c r="N31" s="319"/>
      <c r="O31" s="318"/>
      <c r="P31" s="365"/>
      <c r="Q31" s="319">
        <v>-5551.39</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33999</v>
      </c>
      <c r="K32" s="363"/>
      <c r="L32" s="363"/>
      <c r="M32" s="363"/>
      <c r="N32" s="363"/>
      <c r="O32" s="365"/>
      <c r="P32" s="318">
        <v>12001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6929182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6929181.8099999996</v>
      </c>
      <c r="F35" s="319"/>
      <c r="G35" s="319"/>
      <c r="H35" s="319"/>
      <c r="I35" s="318">
        <v>0</v>
      </c>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7874266</v>
      </c>
      <c r="E36" s="319">
        <v>7874265.7199999997</v>
      </c>
      <c r="F36" s="319"/>
      <c r="G36" s="319"/>
      <c r="H36" s="319"/>
      <c r="I36" s="318">
        <v>0</v>
      </c>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-44913</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-25159338</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-2857968</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3489924</v>
      </c>
      <c r="AV41" s="368"/>
      <c r="AW41" s="374"/>
    </row>
    <row r="42" spans="2:49" s="5" customFormat="1" ht="25.5" x14ac:dyDescent="0.2">
      <c r="B42" s="345" t="s">
        <v>92</v>
      </c>
      <c r="C42" s="331"/>
      <c r="D42" s="365"/>
      <c r="E42" s="319"/>
      <c r="F42" s="319"/>
      <c r="G42" s="319"/>
      <c r="H42" s="319"/>
      <c r="I42" s="318">
        <v>0</v>
      </c>
      <c r="J42" s="365"/>
      <c r="K42" s="319"/>
      <c r="L42" s="319"/>
      <c r="M42" s="319"/>
      <c r="N42" s="319"/>
      <c r="O42" s="318"/>
      <c r="P42" s="365"/>
      <c r="Q42" s="319">
        <v>-153017.94</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-482292</v>
      </c>
      <c r="E43" s="363"/>
      <c r="F43" s="363"/>
      <c r="G43" s="363"/>
      <c r="H43" s="363"/>
      <c r="I43" s="365"/>
      <c r="J43" s="318">
        <v>32560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-25300090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v>0</v>
      </c>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1800158</v>
      </c>
      <c r="AV45" s="368"/>
      <c r="AW45" s="374"/>
    </row>
    <row r="46" spans="2:49" x14ac:dyDescent="0.2">
      <c r="B46" s="343" t="s">
        <v>116</v>
      </c>
      <c r="C46" s="331" t="s">
        <v>31</v>
      </c>
      <c r="D46" s="318">
        <v>0</v>
      </c>
      <c r="E46" s="319"/>
      <c r="F46" s="319"/>
      <c r="G46" s="319"/>
      <c r="H46" s="319"/>
      <c r="I46" s="318">
        <v>0</v>
      </c>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846000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3899000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400522</v>
      </c>
      <c r="E49" s="319">
        <v>1524050.8</v>
      </c>
      <c r="F49" s="319"/>
      <c r="G49" s="319"/>
      <c r="H49" s="319"/>
      <c r="I49" s="318">
        <v>1066196</v>
      </c>
      <c r="J49" s="318">
        <v>1958261</v>
      </c>
      <c r="K49" s="319">
        <v>4092250.67</v>
      </c>
      <c r="L49" s="319"/>
      <c r="M49" s="319"/>
      <c r="N49" s="319"/>
      <c r="O49" s="318"/>
      <c r="P49" s="318">
        <v>217030</v>
      </c>
      <c r="Q49" s="319">
        <v>4390652.9800000004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532</v>
      </c>
      <c r="AU49" s="321">
        <v>13845080</v>
      </c>
      <c r="AV49" s="368"/>
      <c r="AW49" s="374"/>
    </row>
    <row r="50" spans="2:49" x14ac:dyDescent="0.2">
      <c r="B50" s="343" t="s">
        <v>119</v>
      </c>
      <c r="C50" s="331" t="s">
        <v>34</v>
      </c>
      <c r="D50" s="318">
        <v>132162</v>
      </c>
      <c r="E50" s="363"/>
      <c r="F50" s="363"/>
      <c r="G50" s="363"/>
      <c r="H50" s="363"/>
      <c r="I50" s="365"/>
      <c r="J50" s="318">
        <v>755659</v>
      </c>
      <c r="K50" s="363"/>
      <c r="L50" s="363"/>
      <c r="M50" s="363"/>
      <c r="N50" s="363"/>
      <c r="O50" s="365"/>
      <c r="P50" s="318">
        <v>230606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411</v>
      </c>
      <c r="AU50" s="321">
        <v>9874299</v>
      </c>
      <c r="AV50" s="368"/>
      <c r="AW50" s="374"/>
    </row>
    <row r="51" spans="2:49" s="5" customFormat="1" x14ac:dyDescent="0.2">
      <c r="B51" s="343" t="s">
        <v>299</v>
      </c>
      <c r="C51" s="331"/>
      <c r="D51" s="318"/>
      <c r="E51" s="319"/>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v>0</v>
      </c>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v>0</v>
      </c>
      <c r="J53" s="318">
        <v>0</v>
      </c>
      <c r="K53" s="319">
        <v>4345.84</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66832861</v>
      </c>
      <c r="E54" s="323">
        <f>E24+E27+E31+E35-E36+E39+E42+E45+E46-E49+E51+E52+E53</f>
        <v>70634494.88000001</v>
      </c>
      <c r="F54" s="323">
        <f>F24+F27+F31+F35-F36+F39+F42+F45+F46-F49+F51+F52+F53</f>
        <v>0</v>
      </c>
      <c r="G54" s="323">
        <f>G24+G27+G31+G35-G36+G39+G42+G45+G46-G49+G51+G52+G53</f>
        <v>0</v>
      </c>
      <c r="H54" s="323">
        <f>H24+H27+H31+H35-H36+H39+H42+H45+H46-H49+H51+H52+H53</f>
        <v>0</v>
      </c>
      <c r="I54" s="322">
        <f>I24+I27+I31+I35-I36+I39+I42+I45+I46-I49+I51+I52+I53</f>
        <v>49343367</v>
      </c>
      <c r="J54" s="322">
        <f>J23+J26-J28+J30-J32+J34-J36+J38+J41-J43+J45+J46-J47-J49+J50+J51+J52+J53</f>
        <v>130183227</v>
      </c>
      <c r="K54" s="323">
        <f>K24+K27+K31+K35-K36+K39+K42+K45+K46-K49+K51+K52+K53</f>
        <v>130219511.85000001</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135079593</v>
      </c>
      <c r="Q54" s="323">
        <f>Q24+Q27+Q31+Q35-Q36+Q39+Q42+Q45+Q46-Q49+Q51+Q52+Q53</f>
        <v>137042083.11000004</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7932230</v>
      </c>
      <c r="AU54" s="324">
        <f>AU23+AU26-AU28+AU30-AU32+AU34-AU36+AU38+AU41-AU43+AU45+AU46-AU47-AU49+AU50+AU51+AU52+AU53</f>
        <v>1209182577</v>
      </c>
      <c r="AV54" s="368"/>
      <c r="AW54" s="374"/>
    </row>
    <row r="55" spans="2:49" ht="25.5" x14ac:dyDescent="0.2">
      <c r="B55" s="348" t="s">
        <v>493</v>
      </c>
      <c r="C55" s="335" t="s">
        <v>28</v>
      </c>
      <c r="D55" s="322">
        <f t="shared" ref="D55:AC55" si="0">MIN(MAX(0,D56),MAX(0,D57))</f>
        <v>115584</v>
      </c>
      <c r="E55" s="323">
        <f t="shared" si="0"/>
        <v>115584.37</v>
      </c>
      <c r="F55" s="323">
        <f t="shared" si="0"/>
        <v>0</v>
      </c>
      <c r="G55" s="323">
        <f t="shared" si="0"/>
        <v>0</v>
      </c>
      <c r="H55" s="323">
        <f t="shared" si="0"/>
        <v>0</v>
      </c>
      <c r="I55" s="322">
        <f t="shared" si="0"/>
        <v>31113</v>
      </c>
      <c r="J55" s="322">
        <f t="shared" si="0"/>
        <v>243132.19</v>
      </c>
      <c r="K55" s="323">
        <f t="shared" si="0"/>
        <v>234900.05</v>
      </c>
      <c r="L55" s="323">
        <f t="shared" si="0"/>
        <v>0</v>
      </c>
      <c r="M55" s="323">
        <f t="shared" si="0"/>
        <v>0</v>
      </c>
      <c r="N55" s="323">
        <f t="shared" si="0"/>
        <v>0</v>
      </c>
      <c r="O55" s="322">
        <f t="shared" si="0"/>
        <v>0</v>
      </c>
      <c r="P55" s="322">
        <f t="shared" si="0"/>
        <v>216446.18</v>
      </c>
      <c r="Q55" s="323">
        <f t="shared" si="0"/>
        <v>224678.32</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v>117012.59</v>
      </c>
      <c r="E56" s="319">
        <v>117012.59</v>
      </c>
      <c r="F56" s="319"/>
      <c r="G56" s="319"/>
      <c r="H56" s="319"/>
      <c r="I56" s="318">
        <v>64251</v>
      </c>
      <c r="J56" s="318">
        <v>243132.19</v>
      </c>
      <c r="K56" s="319">
        <v>234900.05</v>
      </c>
      <c r="L56" s="319"/>
      <c r="M56" s="319"/>
      <c r="N56" s="319"/>
      <c r="O56" s="318"/>
      <c r="P56" s="318">
        <v>216446.18</v>
      </c>
      <c r="Q56" s="319">
        <v>224678.32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115584</v>
      </c>
      <c r="E57" s="319">
        <v>115584.37</v>
      </c>
      <c r="F57" s="319"/>
      <c r="G57" s="319"/>
      <c r="H57" s="319"/>
      <c r="I57" s="318">
        <v>31113</v>
      </c>
      <c r="J57" s="318">
        <v>406882</v>
      </c>
      <c r="K57" s="319">
        <v>406881.76</v>
      </c>
      <c r="L57" s="319"/>
      <c r="M57" s="319"/>
      <c r="N57" s="319"/>
      <c r="O57" s="318"/>
      <c r="P57" s="318">
        <v>407728</v>
      </c>
      <c r="Q57" s="319">
        <v>407727.57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63009</v>
      </c>
      <c r="AU57" s="321">
        <v>5339527</v>
      </c>
      <c r="AV57" s="321">
        <v>0</v>
      </c>
      <c r="AW57" s="374"/>
    </row>
    <row r="58" spans="2:49" s="5" customFormat="1" x14ac:dyDescent="0.2">
      <c r="B58" s="351" t="s">
        <v>494</v>
      </c>
      <c r="C58" s="352"/>
      <c r="D58" s="353"/>
      <c r="E58" s="354">
        <v>4860334.09</v>
      </c>
      <c r="F58" s="354"/>
      <c r="G58" s="354"/>
      <c r="H58" s="354"/>
      <c r="I58" s="353">
        <v>3910571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33017968.149999999</v>
      </c>
      <c r="D5" s="403">
        <v>61785741.450000003</v>
      </c>
      <c r="E5" s="454"/>
      <c r="F5" s="454"/>
      <c r="G5" s="448"/>
      <c r="H5" s="402">
        <v>74376659.420000002</v>
      </c>
      <c r="I5" s="403">
        <v>103677202.95</v>
      </c>
      <c r="J5" s="454"/>
      <c r="K5" s="454"/>
      <c r="L5" s="448"/>
      <c r="M5" s="402">
        <v>97756899.019999996</v>
      </c>
      <c r="N5" s="403">
        <v>119458542.20999999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32855533.239999998</v>
      </c>
      <c r="D6" s="398">
        <v>62356807.270000003</v>
      </c>
      <c r="E6" s="400">
        <f>SUM('Pt 1 Summary of Data'!E$12,'Pt 1 Summary of Data'!E$22)+SUM('Pt 1 Summary of Data'!G$12,'Pt 1 Summary of Data'!G$22)-SUM('Pt 1 Summary of Data'!H$12,'Pt 1 Summary of Data'!H$22)</f>
        <v>70750079.250000015</v>
      </c>
      <c r="F6" s="400">
        <f t="shared" ref="F6:F11" si="0">SUM(C6:E6)</f>
        <v>165962419.76000002</v>
      </c>
      <c r="G6" s="401">
        <f>SUM('Pt 1 Summary of Data'!I$12,'Pt 1 Summary of Data'!I$22)</f>
        <v>49374480</v>
      </c>
      <c r="H6" s="397">
        <v>75887525.5</v>
      </c>
      <c r="I6" s="398">
        <v>103875767.88</v>
      </c>
      <c r="J6" s="400">
        <f>SUM('Pt 1 Summary of Data'!K$12,'Pt 1 Summary of Data'!K$22)+SUM('Pt 1 Summary of Data'!M$12,'Pt 1 Summary of Data'!M$22)-SUM('Pt 1 Summary of Data'!N$12,'Pt 1 Summary of Data'!N$22)</f>
        <v>130454411.90000001</v>
      </c>
      <c r="K6" s="400">
        <f>SUM(H6:J6)</f>
        <v>310217705.27999997</v>
      </c>
      <c r="L6" s="401">
        <f>SUM('Pt 1 Summary of Data'!O$12,'Pt 1 Summary of Data'!O$22)</f>
        <v>0</v>
      </c>
      <c r="M6" s="397">
        <v>96418907.959999993</v>
      </c>
      <c r="N6" s="398">
        <v>120058247.11</v>
      </c>
      <c r="O6" s="400">
        <f>SUM('Pt 1 Summary of Data'!Q$12,'Pt 1 Summary of Data'!Q$22)+SUM('Pt 1 Summary of Data'!S$12,'Pt 1 Summary of Data'!S$22)-SUM('Pt 1 Summary of Data'!T$12,'Pt 1 Summary of Data'!T$22)</f>
        <v>137266761.43000004</v>
      </c>
      <c r="P6" s="400">
        <f>SUM(M6:O6)</f>
        <v>353743916.5</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v>894994.28</v>
      </c>
      <c r="D7" s="398">
        <v>886407.59</v>
      </c>
      <c r="E7" s="400">
        <f>SUM('Pt 1 Summary of Data'!E$37:E$41)+SUM('Pt 1 Summary of Data'!G$37:G$41)-SUM('Pt 1 Summary of Data'!H$37:H$41)+MAX(0,MIN('Pt 1 Summary of Data'!E$42+'Pt 1 Summary of Data'!G$42-'Pt 1 Summary of Data'!H$42,0.3%*('Pt 1 Summary of Data'!E$5+'Pt 1 Summary of Data'!G$5-'Pt 1 Summary of Data'!H$5-SUM(E$9:E$11))))</f>
        <v>1038986.23</v>
      </c>
      <c r="F7" s="400">
        <f t="shared" si="0"/>
        <v>2820388.1</v>
      </c>
      <c r="G7" s="401">
        <f>SUM('Pt 1 Summary of Data'!I$37:I$41)+MAX(0,MIN(VALUE('Pt 1 Summary of Data'!I$42),0.3%*('Pt 1 Summary of Data'!I$5-SUM(G$9:G$10))))</f>
        <v>495093</v>
      </c>
      <c r="H7" s="397">
        <v>2081988.85</v>
      </c>
      <c r="I7" s="398">
        <v>2557491.2000000002</v>
      </c>
      <c r="J7" s="400">
        <f>SUM('Pt 1 Summary of Data'!K$37:K$41)+SUM('Pt 1 Summary of Data'!M$37:M$41)-SUM('Pt 1 Summary of Data'!N$37:N$41)+MAX(0,MIN('Pt 1 Summary of Data'!K$42+'Pt 1 Summary of Data'!M$42-'Pt 1 Summary of Data'!N$42,0.3%*('Pt 1 Summary of Data'!K$5+'Pt 1 Summary of Data'!M$5-'Pt 1 Summary of Data'!N$5-SUM(J$10:J$11))))</f>
        <v>2433612.1799999997</v>
      </c>
      <c r="K7" s="400">
        <f>SUM(H7:J7)</f>
        <v>7073092.2300000004</v>
      </c>
      <c r="L7" s="401">
        <f>SUM('Pt 1 Summary of Data'!O$37:O$41)+MAX(0,MIN(VALUE('Pt 1 Summary of Data'!O$42),0.3%*('Pt 1 Summary of Data'!O$5-L$10)))</f>
        <v>0</v>
      </c>
      <c r="M7" s="397">
        <v>2051969.69</v>
      </c>
      <c r="N7" s="398">
        <v>2534783.94</v>
      </c>
      <c r="O7" s="400">
        <f>SUM('Pt 1 Summary of Data'!Q$37:Q$41)+SUM('Pt 1 Summary of Data'!S$37:S$41)-SUM('Pt 1 Summary of Data'!T$37:T$41)+MAX(0,MIN('Pt 1 Summary of Data'!Q$42+'Pt 1 Summary of Data'!S$42-'Pt 1 Summary of Data'!T$42,0.3%*('Pt 1 Summary of Data'!Q$5+'Pt 1 Summary of Data'!S$5-'Pt 1 Summary of Data'!T$5)))</f>
        <v>2891249.1100000003</v>
      </c>
      <c r="P7" s="400">
        <f>SUM(M7:O7)</f>
        <v>7478002.7400000002</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v>3328250.93</v>
      </c>
      <c r="E8" s="400">
        <f>'Pt 2 Premium and Claims'!E58+'Pt 2 Premium and Claims'!G58-'Pt 2 Premium and Claims'!H58</f>
        <v>4860334.09</v>
      </c>
      <c r="F8" s="400">
        <f t="shared" si="0"/>
        <v>8188585.0199999996</v>
      </c>
      <c r="G8" s="401">
        <f>'Pt 2 Premium and Claims'!I58</f>
        <v>3910571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7813491.4000000004</v>
      </c>
      <c r="E9" s="400">
        <f>'Pt 2 Premium and Claims'!E$15+'Pt 2 Premium and Claims'!G$15-'Pt 2 Premium and Claims'!H$15</f>
        <v>6596325.1900000004</v>
      </c>
      <c r="F9" s="400">
        <f t="shared" si="0"/>
        <v>14409816.59</v>
      </c>
      <c r="G9" s="401">
        <f>'Pt 2 Premium and Claims'!I$15</f>
        <v>6596325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482642.43</v>
      </c>
      <c r="E10" s="400">
        <f>'Pt 2 Premium and Claims'!E$16+'Pt 2 Premium and Claims'!G$16-'Pt 2 Premium and Claims'!H$16</f>
        <v>-2546110.54</v>
      </c>
      <c r="F10" s="400">
        <f t="shared" si="0"/>
        <v>-2063468.11</v>
      </c>
      <c r="G10" s="401">
        <f>'Pt 2 Premium and Claims'!I$16</f>
        <v>-2546110</v>
      </c>
      <c r="H10" s="443"/>
      <c r="I10" s="398">
        <v>-119935.54</v>
      </c>
      <c r="J10" s="400">
        <f>'Pt 2 Premium and Claims'!K$16+'Pt 2 Premium and Claims'!M$16-'Pt 2 Premium and Claims'!N$16</f>
        <v>-4759020.22</v>
      </c>
      <c r="K10" s="400">
        <f>SUM(H10:J10)</f>
        <v>-4878955.76</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50355.1</v>
      </c>
      <c r="E11" s="400">
        <f>'Pt 2 Premium and Claims'!E$17+'Pt 2 Premium and Claims'!G$17-'Pt 2 Premium and Claims'!H$17</f>
        <v>0</v>
      </c>
      <c r="F11" s="400">
        <f t="shared" si="0"/>
        <v>50355.1</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33750527.519999996</v>
      </c>
      <c r="D12" s="400">
        <f>SUM(D$6:D$7) - SUM(D$8:D$11)+IF(AND(OR('Company Information'!$C$12="District of Columbia",'Company Information'!$C$12="Massachusetts",'Company Information'!$C$12="Vermont"),SUM($C$6:$F$11,$C$15:$F$16,$C$38:$D$38)&lt;&gt;0),SUM(I$6:I$7) - SUM(I$10:I$11),0)</f>
        <v>51568475.000000007</v>
      </c>
      <c r="E12" s="400">
        <f>SUM(E$6:E$7)-SUM(E$8:E$11)+IF(AND(OR('Company Information'!$C$12="District of Columbia",'Company Information'!$C$12="Massachusetts",'Company Information'!$C$12="Vermont"),SUM($C$6:$F$11,$C$15:$F$16,$C$38:$D$38)&lt;&gt;0),SUM(J$6:J$7)-SUM(J$10:J$11),0)</f>
        <v>62878516.740000017</v>
      </c>
      <c r="F12" s="400">
        <f>IFERROR(SUM(C$12:E$12)+C$17*MAX(0,E$50-C$50)+D$17*MAX(0,E$50-D$50),0)</f>
        <v>148197519.26000002</v>
      </c>
      <c r="G12" s="447"/>
      <c r="H12" s="399">
        <f>SUM(H$6:H$7)+IF(AND(OR('Company Information'!$C$12="District of Columbia",'Company Information'!$C$12="Massachusetts",'Company Information'!$C$12="Vermont"),SUM($H$6:$K$11,$H$15:$K$16,$H$38:$I$38)&lt;&gt;0),SUM(C$6:C$7),0)</f>
        <v>77969514.349999994</v>
      </c>
      <c r="I12" s="400">
        <f>SUM(I$6:I$7) - SUM(I$10:I$11)+IF(AND(OR('Company Information'!$C$12="District of Columbia",'Company Information'!$C$12="Massachusetts",'Company Information'!$C$12="Vermont"),SUM($H$6:$K$11,$H$15:$K$16,$H$38:$I$38)&lt;&gt;0),SUM(D$6:D$7) - SUM(D$8:D$11),0)</f>
        <v>106553194.62</v>
      </c>
      <c r="J12" s="400">
        <f>SUM(J$6:J$7)-SUM(J$10:J$11)+IF(AND(OR('Company Information'!$C$12="District of Columbia",'Company Information'!$C$12="Massachusetts",'Company Information'!$C$12="Vermont"),SUM($H$6:$K$11,$H$15:$K$16,$H$38:$I$38)&lt;&gt;0),SUM(E$6:E$7)-SUM(E$8:E$11),0)</f>
        <v>137647044.30000001</v>
      </c>
      <c r="K12" s="400">
        <f>IFERROR(SUM(H$12:J$12)+H$17*MAX(0,J$50-H$50)+I$17*MAX(0,J$50-I$50),0)</f>
        <v>322169753.26999998</v>
      </c>
      <c r="L12" s="447"/>
      <c r="M12" s="399">
        <f>SUM(M$6:M$7)</f>
        <v>98470877.649999991</v>
      </c>
      <c r="N12" s="400">
        <f>SUM(N$6:N$7)</f>
        <v>122593031.05</v>
      </c>
      <c r="O12" s="400">
        <f>SUM(O$6:O$7)</f>
        <v>140158010.54000005</v>
      </c>
      <c r="P12" s="400">
        <f>SUM(M$12:O$12)+M$17*MAX(0,O$50-M$50)+N$17*MAX(0,O$50-N$50)</f>
        <v>361221919.24000001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41778558.079999998</v>
      </c>
      <c r="D15" s="403">
        <v>66778390.520000003</v>
      </c>
      <c r="E15" s="395">
        <f>SUM('Pt 1 Summary of Data'!E$5:E$7)+SUM('Pt 1 Summary of Data'!G$5:G$7)-SUM('Pt 1 Summary of Data'!H$5:H$7)-SUM(E$9:E$11)</f>
        <v>72070447.969999984</v>
      </c>
      <c r="F15" s="395">
        <f>SUM(C15:E15)</f>
        <v>180627396.56999999</v>
      </c>
      <c r="G15" s="396">
        <f>SUM('Pt 1 Summary of Data'!I$5:I$7)-SUM(G$9:G$10)</f>
        <v>45369135</v>
      </c>
      <c r="H15" s="402">
        <v>98374205.890000001</v>
      </c>
      <c r="I15" s="403">
        <v>126505251.06999999</v>
      </c>
      <c r="J15" s="395">
        <f>SUM('Pt 1 Summary of Data'!K$5:K$7)+SUM('Pt 1 Summary of Data'!M$5:M$7)-SUM('Pt 1 Summary of Data'!N$5:N$7)-SUM(J$10:J$11)</f>
        <v>155066086.81</v>
      </c>
      <c r="K15" s="395">
        <f>SUM(H15:J15)</f>
        <v>379945543.76999998</v>
      </c>
      <c r="L15" s="396">
        <f>SUM('Pt 1 Summary of Data'!O$5:O$7)-L$10</f>
        <v>0</v>
      </c>
      <c r="M15" s="402">
        <v>114346028.78</v>
      </c>
      <c r="N15" s="403">
        <v>141841949.46000001</v>
      </c>
      <c r="O15" s="395">
        <f>SUM('Pt 1 Summary of Data'!Q$5:Q$7)+SUM('Pt 1 Summary of Data'!S$5:S$7)-SUM('Pt 1 Summary of Data'!T$5:T$7)+N$56</f>
        <v>163205196.06999999</v>
      </c>
      <c r="P15" s="395">
        <f>SUM(M15:O15)</f>
        <v>419393174.31</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v>2524009.6800000002</v>
      </c>
      <c r="D16" s="398">
        <v>4884627.05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2037867.7799999998</v>
      </c>
      <c r="F16" s="400">
        <f>SUM(C16:E16)</f>
        <v>9446504.5099999998</v>
      </c>
      <c r="G16" s="401">
        <f>SUM('Pt 1 Summary of Data'!I$25:I$28,'Pt 1 Summary of Data'!I$30,'Pt 1 Summary of Data'!I$34:I$35)+IF('Company Information'!$C$15="No",IF(MAX('Pt 1 Summary of Data'!I$31:I$32)=0,MIN('Pt 1 Summary of Data'!I$31:I$32),MAX('Pt 1 Summary of Data'!I$31:I$32)),SUM('Pt 1 Summary of Data'!I$31:I$32))</f>
        <v>1918798</v>
      </c>
      <c r="H16" s="397">
        <v>3328406.77</v>
      </c>
      <c r="I16" s="398">
        <v>2899641.48</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3629082.4399999995</v>
      </c>
      <c r="K16" s="400">
        <f>SUM(H16:J16)</f>
        <v>9857130.6899999995</v>
      </c>
      <c r="L16" s="401">
        <f>SUM('Pt 1 Summary of Data'!O$25:O$28,'Pt 1 Summary of Data'!O$30,'Pt 1 Summary of Data'!O$34:O$35)+IF('Company Information'!$C$15="No",IF(MAX('Pt 1 Summary of Data'!O$31:O$32)=0,MIN('Pt 1 Summary of Data'!O$31:O$32),MAX('Pt 1 Summary of Data'!O$31:O$32)),SUM('Pt 1 Summary of Data'!O$31:O$32))</f>
        <v>0</v>
      </c>
      <c r="M16" s="397">
        <v>14947.08</v>
      </c>
      <c r="N16" s="398">
        <v>3998237.62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6330734.5999999996</v>
      </c>
      <c r="P16" s="400">
        <f>SUM(M16:O16)</f>
        <v>10343919.300000001</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39254548.399999999</v>
      </c>
      <c r="D17" s="400">
        <f>D$15-D$16+IF(AND(OR('Company Information'!$C$12="District of Columbia",'Company Information'!$C$12="Massachusetts",'Company Information'!$C$12="Vermont"),SUM($C$6:$F$11,$C$15:$F$16,$C$38:$D$38)&lt;&gt;0),I$15-I$16,0)</f>
        <v>61893763.470000006</v>
      </c>
      <c r="E17" s="400">
        <f>E$15-E$16+IF(AND(OR('Company Information'!$C$12="District of Columbia",'Company Information'!$C$12="Massachusetts",'Company Information'!$C$12="Vermont"),SUM($C$6:$F$11,$C$15:$F$16,$C$38:$D$38)&lt;&gt;0),J$15-J$16,0)</f>
        <v>70032580.189999983</v>
      </c>
      <c r="F17" s="400">
        <f>F$15-F$16+IF(AND(OR('Company Information'!$C$12="District of Columbia",'Company Information'!$C$12="Massachusetts",'Company Information'!$C$12="Vermont"),SUM($C$6:$F$11,$C$15:$F$16,$C$38:$D$38)&lt;&gt;0),K$15-K$16,0)</f>
        <v>171180892.06</v>
      </c>
      <c r="G17" s="450"/>
      <c r="H17" s="399">
        <f>H$15-H$16+IF(AND(OR('Company Information'!$C$12="District of Columbia",'Company Information'!$C$12="Massachusetts",'Company Information'!$C$12="Vermont"),SUM($H$6:$K$11,$H$15:$K$16,$H$38:$I$38)&lt;&gt;0),C$15-C$16,0)</f>
        <v>95045799.120000005</v>
      </c>
      <c r="I17" s="400">
        <f>I$15-I$16+IF(AND(OR('Company Information'!$C$12="District of Columbia",'Company Information'!$C$12="Massachusetts",'Company Information'!$C$12="Vermont"),SUM($H$6:$K$11,$H$15:$K$16,$H$38:$I$38)&lt;&gt;0),D$15-D$16,0)</f>
        <v>123605609.58999999</v>
      </c>
      <c r="J17" s="400">
        <f>J$15-J$16+IF(AND(OR('Company Information'!$C$12="District of Columbia",'Company Information'!$C$12="Massachusetts",'Company Information'!$C$12="Vermont"),SUM($H$6:$K$11,$H$15:$K$16,$H$38:$I$38)&lt;&gt;0),E$15-E$16,0)</f>
        <v>151437004.37</v>
      </c>
      <c r="K17" s="400">
        <f>K$15-K$16+IF(AND(OR('Company Information'!$C$12="District of Columbia",'Company Information'!$C$12="Massachusetts",'Company Information'!$C$12="Vermont"),SUM($H$6:$K$11,$H$15:$K$16,$H$38:$I$38)&lt;&gt;0),F$15-F$16,0)</f>
        <v>370088413.07999998</v>
      </c>
      <c r="L17" s="450"/>
      <c r="M17" s="399">
        <f>M$15-M$16</f>
        <v>114331081.7</v>
      </c>
      <c r="N17" s="400">
        <f>N$15-N$16</f>
        <v>137843711.84</v>
      </c>
      <c r="O17" s="400">
        <f>O$15-O$16</f>
        <v>156874461.47</v>
      </c>
      <c r="P17" s="400">
        <f>P$15-P$16</f>
        <v>409049255.00999999</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42490559</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5259184</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2172516.85</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-4299406</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2172516.85</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1303510.1099999999</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9350498.8499999996</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9350498.8499999996</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11477872.140000001</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36018636.149999999</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8481492.1099999994</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1303510.1099999999</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8481492.1099999994</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10608865.4</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36887642.890000001</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1.1518914105384304</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3043715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2479922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18034</v>
      </c>
      <c r="D38" s="405">
        <v>22011.75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20669.416666666668</v>
      </c>
      <c r="F38" s="432">
        <f>SUM(C$38:E$38)+IF(AND(OR('Company Information'!$C$12="District of Columbia",'Company Information'!$C$12="Massachusetts",'Company Information'!$C$12="Vermont"),SUM($C$6:$F$11,$C$15:$F$16,$C$38:$D$38)&lt;&gt;0,SUM(C$38:D$38)&lt;&gt;SUM(H$38:I$38)),SUM(H$38:I$38),0)</f>
        <v>60715.166666666672</v>
      </c>
      <c r="G38" s="448"/>
      <c r="H38" s="404">
        <v>24145</v>
      </c>
      <c r="I38" s="405">
        <v>30263</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36194.166666666664</v>
      </c>
      <c r="K38" s="432">
        <f>SUM(H$38:J$38)+IF(AND(OR('Company Information'!$C$12="District of Columbia",'Company Information'!$C$12="Massachusetts",'Company Information'!$C$12="Vermont"),SUM($H$6:$K$11,$H$15:$K$16,$H$38:$I$38)&lt;&gt;0,SUM(H$38:I$38)&lt;&gt;SUM(C$38:D$38)),SUM(C$38:D$38),0)</f>
        <v>90602.166666666657</v>
      </c>
      <c r="L38" s="448"/>
      <c r="M38" s="404">
        <v>22969</v>
      </c>
      <c r="N38" s="405">
        <v>27490.17</v>
      </c>
      <c r="O38" s="432">
        <f>('Pt 1 Summary of Data'!Q$59+'Pt 1 Summary of Data'!S$59-'Pt 1 Summary of Data'!T$59)/12</f>
        <v>30585.75</v>
      </c>
      <c r="P38" s="432">
        <f>SUM(M$38:O$38)</f>
        <v>81044.92</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6.8567199999999984E-3</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v>9205</v>
      </c>
      <c r="G40" s="447"/>
      <c r="H40" s="443"/>
      <c r="I40" s="441"/>
      <c r="J40" s="441"/>
      <c r="K40" s="398">
        <v>1759</v>
      </c>
      <c r="L40" s="447"/>
      <c r="M40" s="443"/>
      <c r="N40" s="441"/>
      <c r="O40" s="441"/>
      <c r="P40" s="398">
        <v>1612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1.6828939999999999</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 ca="1">IF(OR(F$38&lt;1000,F$38&gt;=75000),0,F$39*F$41)</f>
        <v>1.1539132947679996E-2</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IF(OR(C$38&lt;1000,C$17&lt;=0),"",C$12/C$17)</f>
        <v>0.85978641700537295</v>
      </c>
      <c r="D45" s="436">
        <f>IF(OR(D$38&lt;1000,D$17&lt;=0),"",D$12/D$17)</f>
        <v>0.83317723965832713</v>
      </c>
      <c r="E45" s="436">
        <f>IF(OR(E$38&lt;1000,E$17&lt;=0),"",E$12/E$17)</f>
        <v>0.89784663894160643</v>
      </c>
      <c r="F45" s="436">
        <f>IF(OR(F$38&lt;1000,F$17&lt;=0),"",F$12/F$17)</f>
        <v>0.86573634169435121</v>
      </c>
      <c r="G45" s="447"/>
      <c r="H45" s="438">
        <f>IF(OR(H$38&lt;1000,H$17&lt;=0),"",H$12/H$17)</f>
        <v>0.82033624917561732</v>
      </c>
      <c r="I45" s="436">
        <f>IF(OR(I$38&lt;1000,I$17&lt;=0),"",I$12/I$17)</f>
        <v>0.86204173882914481</v>
      </c>
      <c r="J45" s="436">
        <f>IF(OR(J$38&lt;1000,J$17&lt;=0),"",J$12/J$17)</f>
        <v>0.90893929705379317</v>
      </c>
      <c r="K45" s="436">
        <f>IF(OR(K$38&lt;1000,K$17&lt;=0),"",K$12/K$17)</f>
        <v>0.87052104817007148</v>
      </c>
      <c r="L45" s="447"/>
      <c r="M45" s="438">
        <f>IF(OR(M$38&lt;1000,M$17&lt;=0),"",M$12/M$17)</f>
        <v>0.86127828221186142</v>
      </c>
      <c r="N45" s="436">
        <f>IF(OR(N$38&lt;1000,N$17&lt;=0),"",N$12/N$17)</f>
        <v>0.88936252088378176</v>
      </c>
      <c r="O45" s="436">
        <f>IF(OR(O$38&lt;1000,O$17&lt;=0),"",O$12/O$17)</f>
        <v>0.89344058444339758</v>
      </c>
      <c r="P45" s="436">
        <f>IF(OR(P$38&lt;1000,P$17&lt;=0),"",P$12/P$17)</f>
        <v>0.88307682954017175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f ca="1">IF(F$45="","",F$42)</f>
        <v>1.1539132947679996E-2</v>
      </c>
      <c r="G47" s="447"/>
      <c r="H47" s="443"/>
      <c r="I47" s="441"/>
      <c r="J47" s="441"/>
      <c r="K47" s="436">
        <f>IF(K$45="","",K$42)</f>
        <v>0</v>
      </c>
      <c r="L47" s="447"/>
      <c r="M47" s="443"/>
      <c r="N47" s="441"/>
      <c r="O47" s="441"/>
      <c r="P47" s="436">
        <f>IF(P$45="","",P$42)</f>
        <v>0</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f ca="1">IF(F$45="","",ROUND(F$45+MAX(0,F$47),3))</f>
        <v>0.877</v>
      </c>
      <c r="G48" s="447"/>
      <c r="H48" s="443"/>
      <c r="I48" s="441"/>
      <c r="J48" s="441"/>
      <c r="K48" s="436">
        <f>IF(K$45="","",ROUND(K$45+MAX(0,K$47),3))</f>
        <v>0.871</v>
      </c>
      <c r="L48" s="447"/>
      <c r="M48" s="443"/>
      <c r="N48" s="441"/>
      <c r="O48" s="441"/>
      <c r="P48" s="436">
        <f>IF(P$45="","",ROUND(P$45+MAX(0,P$47),3))</f>
        <v>0.88300000000000001</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 ca="1">F$48</f>
        <v>0.877</v>
      </c>
      <c r="G51" s="447"/>
      <c r="H51" s="444"/>
      <c r="I51" s="442"/>
      <c r="J51" s="442"/>
      <c r="K51" s="436">
        <f>K$48</f>
        <v>0.871</v>
      </c>
      <c r="L51" s="447"/>
      <c r="M51" s="444"/>
      <c r="N51" s="442"/>
      <c r="O51" s="442"/>
      <c r="P51" s="436">
        <f>P$48</f>
        <v>0.88300000000000001</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f>IF(F$38&lt;1000,"",MAX(0,E$15-E$16))</f>
        <v>70032580.189999983</v>
      </c>
      <c r="G52" s="447"/>
      <c r="H52" s="443"/>
      <c r="I52" s="441"/>
      <c r="J52" s="441"/>
      <c r="K52" s="400">
        <f>IF(K$38&lt;1000,"",MAX(0,J$15-J$16))</f>
        <v>151437004.37</v>
      </c>
      <c r="L52" s="447"/>
      <c r="M52" s="443"/>
      <c r="N52" s="441"/>
      <c r="O52" s="441"/>
      <c r="P52" s="400">
        <f>IF(P$38&lt;1000,"",MAX(0,O$15-O$16))</f>
        <v>156874461.47</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 ca="1">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272602.15000000002</v>
      </c>
      <c r="D56" s="441"/>
      <c r="E56" s="441"/>
      <c r="F56" s="441"/>
      <c r="G56" s="447"/>
      <c r="H56" s="397">
        <v>630033.61</v>
      </c>
      <c r="I56" s="441"/>
      <c r="J56" s="441"/>
      <c r="K56" s="441"/>
      <c r="L56" s="447"/>
      <c r="M56" s="397">
        <v>559171.81999999995</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16424.32</v>
      </c>
      <c r="D57" s="441"/>
      <c r="E57" s="441"/>
      <c r="F57" s="441"/>
      <c r="G57" s="447"/>
      <c r="H57" s="397">
        <v>21254.23</v>
      </c>
      <c r="I57" s="441"/>
      <c r="J57" s="441"/>
      <c r="K57" s="441"/>
      <c r="L57" s="447"/>
      <c r="M57" s="397">
        <v>72.92</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581772</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37072056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37653828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12666</v>
      </c>
      <c r="D4" s="104">
        <f>'Pt 1 Summary of Data'!$K$56+'Pt 1 Summary of Data'!$M$56-'Pt 1 Summary of Data'!$N$56</f>
        <v>23330</v>
      </c>
      <c r="E4" s="104">
        <f>'Pt 1 Summary of Data'!$Q$56+'Pt 1 Summary of Data'!$S$56-'Pt 1 Summary of Data'!$T$56</f>
        <v>17177</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 ca="1">'Pt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509</v>
      </c>
      <c r="E27" s="7"/>
    </row>
    <row r="28" spans="2:5" ht="35.25" customHeight="1" x14ac:dyDescent="0.2">
      <c r="B28" s="134"/>
      <c r="C28" s="113"/>
      <c r="D28" s="137" t="s">
        <v>510</v>
      </c>
      <c r="E28" s="7"/>
    </row>
    <row r="29" spans="2:5" ht="35.25" customHeight="1" x14ac:dyDescent="0.2">
      <c r="B29" s="134"/>
      <c r="C29" s="113"/>
      <c r="D29" s="137" t="s">
        <v>511</v>
      </c>
      <c r="E29" s="7"/>
    </row>
    <row r="30" spans="2:5" ht="35.25" customHeight="1" x14ac:dyDescent="0.2">
      <c r="B30" s="134"/>
      <c r="C30" s="113"/>
      <c r="D30" s="137" t="s">
        <v>512</v>
      </c>
      <c r="E30" s="7"/>
    </row>
    <row r="31" spans="2:5" ht="35.25" customHeight="1" x14ac:dyDescent="0.2">
      <c r="B31" s="134"/>
      <c r="C31" s="113"/>
      <c r="D31" s="137" t="s">
        <v>513</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514</v>
      </c>
      <c r="E34" s="7"/>
    </row>
    <row r="35" spans="2:5" ht="35.25" customHeight="1" x14ac:dyDescent="0.2">
      <c r="B35" s="134"/>
      <c r="C35" s="113"/>
      <c r="D35" s="137" t="s">
        <v>515</v>
      </c>
      <c r="E35" s="7"/>
    </row>
    <row r="36" spans="2:5" ht="35.25" customHeight="1" x14ac:dyDescent="0.2">
      <c r="B36" s="134"/>
      <c r="C36" s="113"/>
      <c r="D36" s="137" t="s">
        <v>516</v>
      </c>
      <c r="E36" s="7"/>
    </row>
    <row r="37" spans="2:5" ht="35.25" customHeight="1" x14ac:dyDescent="0.2">
      <c r="B37" s="134"/>
      <c r="C37" s="113"/>
      <c r="D37" s="137" t="s">
        <v>517</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519</v>
      </c>
      <c r="E48" s="7"/>
    </row>
    <row r="49" spans="2:5" ht="35.25" customHeight="1" x14ac:dyDescent="0.2">
      <c r="B49" s="134"/>
      <c r="C49" s="113"/>
      <c r="D49" s="137" t="s">
        <v>520</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521</v>
      </c>
      <c r="E56" s="7"/>
    </row>
    <row r="57" spans="2:5" ht="35.25" customHeight="1" x14ac:dyDescent="0.2">
      <c r="B57" s="134"/>
      <c r="C57" s="115"/>
      <c r="D57" s="137" t="s">
        <v>522</v>
      </c>
      <c r="E57" s="7"/>
    </row>
    <row r="58" spans="2:5" ht="35.25" customHeight="1" x14ac:dyDescent="0.2">
      <c r="B58" s="134"/>
      <c r="C58" s="115"/>
      <c r="D58" s="137" t="s">
        <v>523</v>
      </c>
      <c r="E58" s="7"/>
    </row>
    <row r="59" spans="2:5" ht="35.25" customHeight="1" x14ac:dyDescent="0.2">
      <c r="B59" s="134"/>
      <c r="C59" s="115"/>
      <c r="D59" s="137" t="s">
        <v>524</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521</v>
      </c>
      <c r="E67" s="7"/>
    </row>
    <row r="68" spans="2:5" ht="35.25" customHeight="1" x14ac:dyDescent="0.2">
      <c r="B68" s="134"/>
      <c r="C68" s="115"/>
      <c r="D68" s="137" t="s">
        <v>522</v>
      </c>
      <c r="E68" s="7"/>
    </row>
    <row r="69" spans="2:5" ht="35.25" customHeight="1" x14ac:dyDescent="0.2">
      <c r="B69" s="134"/>
      <c r="C69" s="115"/>
      <c r="D69" s="137" t="s">
        <v>523</v>
      </c>
      <c r="E69" s="7"/>
    </row>
    <row r="70" spans="2:5" ht="35.25" customHeight="1" x14ac:dyDescent="0.2">
      <c r="B70" s="134"/>
      <c r="C70" s="115"/>
      <c r="D70" s="137" t="s">
        <v>524</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521</v>
      </c>
      <c r="E78" s="7"/>
    </row>
    <row r="79" spans="2:5" ht="35.25" customHeight="1" x14ac:dyDescent="0.2">
      <c r="B79" s="134"/>
      <c r="C79" s="115"/>
      <c r="D79" s="137" t="s">
        <v>522</v>
      </c>
      <c r="E79" s="7"/>
    </row>
    <row r="80" spans="2:5" ht="35.25" customHeight="1" x14ac:dyDescent="0.2">
      <c r="B80" s="134"/>
      <c r="C80" s="115"/>
      <c r="D80" s="137" t="s">
        <v>523</v>
      </c>
      <c r="E80" s="7"/>
    </row>
    <row r="81" spans="2:5" ht="35.25" customHeight="1" x14ac:dyDescent="0.2">
      <c r="B81" s="134"/>
      <c r="C81" s="115"/>
      <c r="D81" s="137" t="s">
        <v>524</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521</v>
      </c>
      <c r="E89" s="7"/>
    </row>
    <row r="90" spans="2:5" ht="35.25" customHeight="1" x14ac:dyDescent="0.2">
      <c r="B90" s="134"/>
      <c r="C90" s="115"/>
      <c r="D90" s="137" t="s">
        <v>522</v>
      </c>
      <c r="E90" s="7"/>
    </row>
    <row r="91" spans="2:5" ht="35.25" customHeight="1" x14ac:dyDescent="0.2">
      <c r="B91" s="134"/>
      <c r="C91" s="115"/>
      <c r="D91" s="137" t="s">
        <v>523</v>
      </c>
      <c r="E91" s="7"/>
    </row>
    <row r="92" spans="2:5" ht="35.25" customHeight="1" x14ac:dyDescent="0.2">
      <c r="B92" s="134"/>
      <c r="C92" s="115"/>
      <c r="D92" s="137" t="s">
        <v>524</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525</v>
      </c>
      <c r="E100" s="7"/>
    </row>
    <row r="101" spans="2:5" ht="35.25" customHeight="1" x14ac:dyDescent="0.2">
      <c r="B101" s="134"/>
      <c r="C101" s="115"/>
      <c r="D101" s="137" t="s">
        <v>526</v>
      </c>
      <c r="E101" s="7"/>
    </row>
    <row r="102" spans="2:5" ht="35.25" customHeight="1" x14ac:dyDescent="0.2">
      <c r="B102" s="134"/>
      <c r="C102" s="115"/>
      <c r="D102" s="137" t="s">
        <v>527</v>
      </c>
      <c r="E102" s="7"/>
    </row>
    <row r="103" spans="2:5" ht="35.25" customHeight="1" x14ac:dyDescent="0.2">
      <c r="B103" s="134"/>
      <c r="C103" s="115"/>
      <c r="D103" s="137" t="s">
        <v>528</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521</v>
      </c>
      <c r="E111" s="27"/>
    </row>
    <row r="112" spans="2:5" s="5" customFormat="1" ht="35.25" customHeight="1" x14ac:dyDescent="0.2">
      <c r="B112" s="134"/>
      <c r="C112" s="115"/>
      <c r="D112" s="137" t="s">
        <v>522</v>
      </c>
      <c r="E112" s="27"/>
    </row>
    <row r="113" spans="2:5" s="5" customFormat="1" ht="35.25" customHeight="1" x14ac:dyDescent="0.2">
      <c r="B113" s="134"/>
      <c r="C113" s="115"/>
      <c r="D113" s="137" t="s">
        <v>523</v>
      </c>
      <c r="E113" s="27"/>
    </row>
    <row r="114" spans="2:5" s="5" customFormat="1" ht="35.25" customHeight="1" x14ac:dyDescent="0.2">
      <c r="B114" s="134"/>
      <c r="C114" s="115"/>
      <c r="D114" s="137" t="s">
        <v>524</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521</v>
      </c>
      <c r="E123" s="7"/>
    </row>
    <row r="124" spans="2:5" s="5" customFormat="1" ht="35.25" customHeight="1" x14ac:dyDescent="0.2">
      <c r="B124" s="134"/>
      <c r="C124" s="113"/>
      <c r="D124" s="137" t="s">
        <v>522</v>
      </c>
      <c r="E124" s="27"/>
    </row>
    <row r="125" spans="2:5" s="5" customFormat="1" ht="35.25" customHeight="1" x14ac:dyDescent="0.2">
      <c r="B125" s="134"/>
      <c r="C125" s="113"/>
      <c r="D125" s="137" t="s">
        <v>523</v>
      </c>
      <c r="E125" s="27"/>
    </row>
    <row r="126" spans="2:5" s="5" customFormat="1" ht="35.25" customHeight="1" x14ac:dyDescent="0.2">
      <c r="B126" s="134"/>
      <c r="C126" s="113"/>
      <c r="D126" s="137" t="s">
        <v>524</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521</v>
      </c>
      <c r="E134" s="27"/>
    </row>
    <row r="135" spans="2:5" s="5" customFormat="1" ht="35.25" customHeight="1" x14ac:dyDescent="0.2">
      <c r="B135" s="134"/>
      <c r="C135" s="113"/>
      <c r="D135" s="137" t="s">
        <v>522</v>
      </c>
      <c r="E135" s="27"/>
    </row>
    <row r="136" spans="2:5" s="5" customFormat="1" ht="35.25" customHeight="1" x14ac:dyDescent="0.2">
      <c r="B136" s="134"/>
      <c r="C136" s="113"/>
      <c r="D136" s="137" t="s">
        <v>523</v>
      </c>
      <c r="E136" s="27"/>
    </row>
    <row r="137" spans="2:5" s="5" customFormat="1" ht="35.25" customHeight="1" x14ac:dyDescent="0.2">
      <c r="B137" s="134"/>
      <c r="C137" s="113"/>
      <c r="D137" s="137" t="s">
        <v>524</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522</v>
      </c>
      <c r="E145" s="27"/>
    </row>
    <row r="146" spans="2:5" s="5" customFormat="1" ht="35.25" customHeight="1" x14ac:dyDescent="0.2">
      <c r="B146" s="134"/>
      <c r="C146" s="113"/>
      <c r="D146" s="137" t="s">
        <v>523</v>
      </c>
      <c r="E146" s="27"/>
    </row>
    <row r="147" spans="2:5" s="5" customFormat="1" ht="35.25" customHeight="1" x14ac:dyDescent="0.2">
      <c r="B147" s="134"/>
      <c r="C147" s="113"/>
      <c r="D147" s="137" t="s">
        <v>524</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522</v>
      </c>
      <c r="E167" s="27"/>
    </row>
    <row r="168" spans="2:5" s="5" customFormat="1" ht="35.25" customHeight="1" x14ac:dyDescent="0.2">
      <c r="B168" s="134"/>
      <c r="C168" s="113"/>
      <c r="D168" s="137" t="s">
        <v>523</v>
      </c>
      <c r="E168" s="27"/>
    </row>
    <row r="169" spans="2:5" s="5" customFormat="1" ht="35.25" customHeight="1" x14ac:dyDescent="0.2">
      <c r="B169" s="134"/>
      <c r="C169" s="113"/>
      <c r="D169" s="137" t="s">
        <v>524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522</v>
      </c>
      <c r="E178" s="27"/>
    </row>
    <row r="179" spans="2:5" s="5" customFormat="1" ht="35.25" customHeight="1" x14ac:dyDescent="0.2">
      <c r="B179" s="134"/>
      <c r="C179" s="113"/>
      <c r="D179" s="137" t="s">
        <v>523</v>
      </c>
      <c r="E179" s="27"/>
    </row>
    <row r="180" spans="2:5" s="5" customFormat="1" ht="35.25" customHeight="1" x14ac:dyDescent="0.2">
      <c r="B180" s="134"/>
      <c r="C180" s="113"/>
      <c r="D180" s="137" t="s">
        <v>524</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521</v>
      </c>
      <c r="E200" s="27"/>
    </row>
    <row r="201" spans="2:5" s="5" customFormat="1" ht="35.25" customHeight="1" x14ac:dyDescent="0.2">
      <c r="B201" s="134"/>
      <c r="C201" s="113"/>
      <c r="D201" s="137" t="s">
        <v>522</v>
      </c>
      <c r="E201" s="27"/>
    </row>
    <row r="202" spans="2:5" s="5" customFormat="1" ht="35.25" customHeight="1" x14ac:dyDescent="0.2">
      <c r="B202" s="134"/>
      <c r="C202" s="113"/>
      <c r="D202" s="137" t="s">
        <v>523</v>
      </c>
      <c r="E202" s="27"/>
    </row>
    <row r="203" spans="2:5" s="5" customFormat="1" ht="35.25" customHeight="1" x14ac:dyDescent="0.2">
      <c r="B203" s="134"/>
      <c r="C203" s="113"/>
      <c r="D203" s="137" t="s">
        <v>524</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