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P53" i="10"/>
  <c r="E11" i="16" s="1"/>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P45" i="10"/>
  <c r="P48" i="10" s="1"/>
  <c r="P51" i="10" s="1"/>
  <c r="O45" i="10"/>
  <c r="N45" i="10"/>
  <c r="M45" i="10"/>
  <c r="AN42" i="10"/>
  <c r="AB42" i="10"/>
  <c r="X42" i="10"/>
  <c r="T42" i="10"/>
  <c r="P42" i="10"/>
  <c r="AN41" i="10"/>
  <c r="AB41" i="10"/>
  <c r="X41" i="10"/>
  <c r="T41" i="10"/>
  <c r="P41" i="10"/>
  <c r="K41" i="10"/>
  <c r="F41" i="10"/>
  <c r="AN39" i="10"/>
  <c r="T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U13" i="10"/>
  <c r="S13" i="10"/>
  <c r="Q13"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T22" i="4" s="1"/>
  <c r="AS55" i="18"/>
  <c r="AS22" i="4" s="1"/>
  <c r="AR55" i="18"/>
  <c r="AR22" i="4" s="1"/>
  <c r="AQ55" i="18"/>
  <c r="AQ22" i="4" s="1"/>
  <c r="AP55" i="18"/>
  <c r="AP22" i="4" s="1"/>
  <c r="AO55" i="18"/>
  <c r="AO22" i="4" s="1"/>
  <c r="AN55" i="18"/>
  <c r="AN22" i="4" s="1"/>
  <c r="AC55" i="18"/>
  <c r="AC22" i="4" s="1"/>
  <c r="AB55" i="18"/>
  <c r="AB22" i="4" s="1"/>
  <c r="AA55" i="18"/>
  <c r="AA22" i="4" s="1"/>
  <c r="Z55" i="18"/>
  <c r="Z22" i="4" s="1"/>
  <c r="Y55" i="18"/>
  <c r="Y22" i="4" s="1"/>
  <c r="X55" i="18"/>
  <c r="X22" i="4" s="1"/>
  <c r="W55" i="18"/>
  <c r="V55" i="18"/>
  <c r="V22" i="4" s="1"/>
  <c r="U55" i="18"/>
  <c r="T55" i="18"/>
  <c r="S55" i="18"/>
  <c r="R55" i="18"/>
  <c r="Q55" i="18"/>
  <c r="Q22" i="4" s="1"/>
  <c r="P55" i="18"/>
  <c r="O55" i="18"/>
  <c r="N55" i="18"/>
  <c r="M55" i="18"/>
  <c r="L55" i="18"/>
  <c r="K55" i="18"/>
  <c r="J55" i="18"/>
  <c r="I55" i="18"/>
  <c r="I22" i="4" s="1"/>
  <c r="H55" i="18"/>
  <c r="G55" i="18"/>
  <c r="F55" i="18"/>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A54" i="18"/>
  <c r="Z54" i="18"/>
  <c r="Y54" i="18"/>
  <c r="X54" i="18"/>
  <c r="W54" i="18"/>
  <c r="V54" i="18"/>
  <c r="U54" i="18"/>
  <c r="U12" i="4" s="1"/>
  <c r="T54" i="18"/>
  <c r="S54" i="18"/>
  <c r="R54" i="18"/>
  <c r="Q54" i="18"/>
  <c r="P54" i="18"/>
  <c r="O54" i="18"/>
  <c r="N54" i="18"/>
  <c r="M54" i="18"/>
  <c r="L54" i="18"/>
  <c r="K54" i="18"/>
  <c r="J54" i="18"/>
  <c r="I54" i="18"/>
  <c r="H54" i="18"/>
  <c r="H12" i="4" s="1"/>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U22" i="4"/>
  <c r="T22" i="4"/>
  <c r="S22" i="4"/>
  <c r="R22" i="4"/>
  <c r="P22" i="4"/>
  <c r="O22" i="4"/>
  <c r="N22" i="4"/>
  <c r="M22" i="4"/>
  <c r="L22" i="4"/>
  <c r="K22" i="4"/>
  <c r="J22" i="4"/>
  <c r="H22" i="4"/>
  <c r="G22" i="4"/>
  <c r="F22" i="4"/>
  <c r="AB12" i="4"/>
  <c r="AA12" i="4"/>
  <c r="Z12" i="4"/>
  <c r="Y12" i="4"/>
  <c r="X12" i="4"/>
  <c r="W12" i="4"/>
  <c r="V12" i="4"/>
  <c r="T12" i="4"/>
  <c r="S12" i="4"/>
  <c r="R12" i="4"/>
  <c r="Q12" i="4"/>
  <c r="P12" i="4"/>
  <c r="O12" i="4"/>
  <c r="N12" i="4"/>
  <c r="M12" i="4"/>
  <c r="L12" i="4"/>
  <c r="K12" i="4"/>
  <c r="J12" i="4"/>
  <c r="I12" i="4"/>
  <c r="F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F15" i="10" l="1"/>
  <c r="K15" i="10"/>
  <c r="J7" i="10"/>
  <c r="G15" i="10"/>
  <c r="E7" i="10"/>
  <c r="P47" i="10"/>
  <c r="AB39" i="10"/>
  <c r="X39" i="10"/>
  <c r="P39" i="10"/>
  <c r="L29" i="10"/>
  <c r="L33" i="10" s="1"/>
  <c r="L34" i="10" s="1"/>
  <c r="L21" i="10"/>
  <c r="L26" i="10" s="1"/>
  <c r="L25" i="10" s="1"/>
  <c r="L28" i="10" s="1"/>
  <c r="T13" i="10"/>
  <c r="P12" i="10"/>
  <c r="X13" i="10"/>
  <c r="R13" i="10"/>
  <c r="G27" i="10" l="1"/>
  <c r="G23" i="10"/>
  <c r="G32" i="10"/>
  <c r="G24" i="10"/>
  <c r="K7" i="10"/>
  <c r="J17" i="10" s="1"/>
  <c r="I17" i="10"/>
  <c r="I45" i="10" s="1"/>
  <c r="H17" i="10"/>
  <c r="J12" i="10"/>
  <c r="J38" i="10"/>
  <c r="H12" i="10"/>
  <c r="K17" i="10"/>
  <c r="F7" i="10"/>
  <c r="E38" i="10"/>
  <c r="D17" i="10"/>
  <c r="C17" i="10"/>
  <c r="C45" i="10" s="1"/>
  <c r="C12" i="10"/>
  <c r="G20" i="10"/>
  <c r="E17" i="10"/>
  <c r="I12" i="10"/>
  <c r="G19" i="10"/>
  <c r="F17" i="10"/>
  <c r="H45" i="10" l="1"/>
  <c r="K12" i="10"/>
  <c r="F38" i="10"/>
  <c r="J45" i="10"/>
  <c r="K38" i="10"/>
  <c r="G22" i="10"/>
  <c r="D12" i="10"/>
  <c r="D45" i="10" s="1"/>
  <c r="E12" i="10"/>
  <c r="F12" i="10" s="1"/>
  <c r="F45" i="10" s="1"/>
  <c r="G30" i="10" l="1"/>
  <c r="G31" i="10" s="1"/>
  <c r="G29" i="10" s="1"/>
  <c r="G33" i="10" s="1"/>
  <c r="G34" i="10" s="1"/>
  <c r="G21" i="10"/>
  <c r="G26" i="10" s="1"/>
  <c r="G25" i="10" s="1"/>
  <c r="G28" i="10" s="1"/>
  <c r="E45" i="10"/>
  <c r="K52" i="10"/>
  <c r="K39" i="10"/>
  <c r="K53" i="10"/>
  <c r="D11" i="16" s="1"/>
  <c r="K45" i="10"/>
  <c r="K42" i="10"/>
  <c r="F52" i="10"/>
  <c r="F39" i="10"/>
  <c r="F42" i="10" s="1"/>
  <c r="F47" i="10" s="1"/>
  <c r="F48" i="10" s="1"/>
  <c r="F51" i="10" s="1"/>
  <c r="F53" i="10" s="1"/>
  <c r="C11" i="16" s="1"/>
  <c r="K48" i="10" l="1"/>
  <c r="K51" i="10" s="1"/>
  <c r="K47" i="10"/>
</calcChain>
</file>

<file path=xl/sharedStrings.xml><?xml version="1.0" encoding="utf-8"?>
<sst xmlns="http://schemas.openxmlformats.org/spreadsheetml/2006/main" count="627" uniqueCount="528">
  <si>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</si>
  <si>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</si>
  <si>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</si>
  <si>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</si>
  <si>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</si>
  <si>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</si>
  <si>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</si>
  <si>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</si>
  <si>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</si>
  <si>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</si>
  <si>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</si>
  <si>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</si>
  <si>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</si>
  <si>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</si>
  <si>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</si>
  <si>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</si>
  <si>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</si>
  <si>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</si>
  <si>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</si>
  <si>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</si>
  <si>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</si>
  <si>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</si>
  <si>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</si>
  <si>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</si>
  <si>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</si>
  <si>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</si>
  <si>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</si>
  <si>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</si>
  <si>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</si>
  <si>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</si>
  <si>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</si>
  <si>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</si>
  <si>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</si>
  <si>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</si>
  <si>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</si>
  <si>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</si>
  <si>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</si>
  <si>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</si>
  <si>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</si>
  <si>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</si>
  <si>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</si>
  <si>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</si>
  <si>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</si>
  <si>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</si>
  <si>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</si>
  <si>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</si>
  <si>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</si>
  <si>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</si>
  <si>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</si>
  <si>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</si>
  <si>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</si>
  <si>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</si>
  <si>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</si>
  <si>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</si>
  <si>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</si>
  <si>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</si>
  <si>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</si>
  <si>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</si>
  <si>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</si>
  <si>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</si>
  <si>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</si>
  <si>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</si>
  <si>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</si>
  <si>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</si>
  <si>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</si>
  <si>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</si>
  <si>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</si>
  <si>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</si>
  <si>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</si>
  <si>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</si>
  <si>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</si>
  <si>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</si>
  <si>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</si>
  <si>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</si>
  <si>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</si>
  <si>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</si>
  <si>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</si>
  <si>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</si>
  <si>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</si>
  <si>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</si>
  <si>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</si>
  <si>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</si>
  <si>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</si>
  <si>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</si>
  <si>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</si>
  <si>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</si>
  <si>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</si>
  <si>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</si>
  <si>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</si>
  <si>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</si>
  <si>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</si>
  <si>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</si>
  <si>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</si>
  <si>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</si>
  <si>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</si>
  <si>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</si>
  <si>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</si>
  <si>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</si>
  <si>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</si>
  <si>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</si>
  <si>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</si>
  <si>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</si>
  <si>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</si>
  <si>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</si>
  <si>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</si>
  <si>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</si>
  <si>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</si>
  <si>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</si>
  <si>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</si>
  <si>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</si>
  <si>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</si>
  <si>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</si>
  <si>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</si>
  <si>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</si>
  <si>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</si>
  <si>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</si>
  <si>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</si>
  <si>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</si>
  <si>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</si>
  <si>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</si>
  <si>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</si>
  <si>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</si>
  <si>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</si>
  <si>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</si>
  <si>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</si>
  <si>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</si>
  <si>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</si>
  <si>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</si>
  <si>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</si>
  <si>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</si>
  <si>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</si>
  <si>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</si>
  <si>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</si>
  <si>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</si>
  <si>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</si>
  <si>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</si>
  <si>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</si>
  <si>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</si>
  <si>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</si>
  <si>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</si>
  <si>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</si>
  <si>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</si>
  <si>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</si>
  <si>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</si>
  <si>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</si>
  <si>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</si>
  <si>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</si>
  <si>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</si>
  <si>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</si>
  <si>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</si>
  <si>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</si>
  <si>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</si>
  <si>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</si>
  <si>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</si>
  <si>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</si>
  <si>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</si>
  <si>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</si>
  <si>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</si>
  <si>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</si>
  <si>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</si>
  <si>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</si>
  <si>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</si>
  <si>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</si>
  <si>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</si>
  <si>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</si>
  <si>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</si>
  <si>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</si>
  <si>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</si>
  <si>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</si>
  <si>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</si>
  <si>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</si>
  <si>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</si>
  <si>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</si>
  <si>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</si>
  <si>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</si>
  <si>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</si>
  <si>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</si>
  <si>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</si>
  <si>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</si>
  <si>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</si>
  <si>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</si>
  <si>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</si>
  <si>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</si>
  <si>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</si>
  <si>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</si>
  <si>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</si>
  <si>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</si>
  <si>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</si>
  <si>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</si>
  <si>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</si>
  <si>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</si>
  <si>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</si>
  <si>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</si>
  <si>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</si>
  <si>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</si>
  <si>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</si>
  <si>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</si>
  <si>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</si>
  <si>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</si>
  <si>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</si>
  <si>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</si>
  <si>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</si>
  <si>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</si>
  <si>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</si>
  <si>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</si>
  <si>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</si>
  <si>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</si>
  <si>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</si>
  <si>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</si>
  <si>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</si>
  <si>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</si>
  <si>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</si>
  <si>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</si>
  <si>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</si>
  <si>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</si>
  <si>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</si>
  <si>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</si>
  <si>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</si>
  <si>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</si>
  <si>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</si>
  <si>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</si>
  <si>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</si>
  <si>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</si>
  <si>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</si>
  <si>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</si>
  <si>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</si>
  <si>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</si>
  <si>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</si>
  <si>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</si>
  <si>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</si>
  <si>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</si>
  <si>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</si>
  <si>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</si>
  <si>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</si>
  <si>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</si>
  <si>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</si>
  <si>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</si>
  <si>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</si>
  <si>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</si>
  <si>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</si>
  <si>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</si>
  <si>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</si>
  <si>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</si>
  <si>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</si>
  <si>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</si>
  <si>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</si>
  <si>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</si>
  <si>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</si>
  <si>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</si>
  <si>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</si>
  <si>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</si>
  <si>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</si>
  <si>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</si>
  <si>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</si>
  <si>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</si>
  <si>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</si>
  <si>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</si>
  <si>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</si>
  <si>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</si>
  <si>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</si>
  <si>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</si>
  <si>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</si>
  <si>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</si>
  <si>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</si>
  <si>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</si>
  <si>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</si>
  <si>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</si>
  <si>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</si>
  <si>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</si>
  <si>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</si>
  <si>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</si>
  <si>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</si>
  <si>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</si>
  <si>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</si>
  <si>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</si>
  <si>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</si>
  <si>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</si>
  <si>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</si>
  <si>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</si>
  <si>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</si>
  <si>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</si>
  <si>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</si>
  <si>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</si>
  <si>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</si>
  <si>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</si>
  <si>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</si>
  <si>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</si>
  <si>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</si>
  <si>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</si>
  <si>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</si>
  <si>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</si>
  <si>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</si>
  <si>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</si>
  <si>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</si>
  <si>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</si>
  <si>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</si>
  <si>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</si>
  <si>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</si>
  <si>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</si>
  <si>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</si>
  <si>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</si>
  <si>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</si>
  <si>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</si>
  <si>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</si>
  <si>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</si>
  <si>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</si>
  <si>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</si>
  <si>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</si>
  <si>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</si>
  <si>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</si>
  <si>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</si>
  <si>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</si>
  <si>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</si>
  <si>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</si>
  <si>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</si>
  <si>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</si>
  <si>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</si>
  <si>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</si>
  <si>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</si>
  <si>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</si>
  <si>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</si>
  <si>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</si>
  <si>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</si>
  <si>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</si>
  <si>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</si>
  <si>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</si>
  <si>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</si>
  <si>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</si>
  <si>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</si>
  <si>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</si>
  <si>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</si>
  <si>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</si>
  <si>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</si>
  <si>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</si>
  <si>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</si>
  <si>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</si>
  <si>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</si>
  <si>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</si>
  <si>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</si>
  <si>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</si>
  <si>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</si>
  <si>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</si>
  <si>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</si>
  <si>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</si>
  <si>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</si>
  <si>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</si>
  <si>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</si>
  <si>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</si>
  <si>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</si>
  <si>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</si>
  <si>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</si>
  <si>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</si>
  <si>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</si>
  <si>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</si>
  <si>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</si>
  <si>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</si>
  <si>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</si>
  <si>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</si>
  <si>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</si>
  <si>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</si>
  <si>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</si>
  <si>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</si>
  <si>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</si>
  <si>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</si>
  <si>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</si>
  <si>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</si>
  <si>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</si>
  <si>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</si>
  <si>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</si>
  <si>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</si>
  <si>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</si>
  <si>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</si>
  <si>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</si>
  <si>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</si>
  <si>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</si>
  <si>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</si>
  <si>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</si>
  <si>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</si>
  <si>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</si>
  <si>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</si>
  <si>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</si>
  <si>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</si>
  <si>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</si>
  <si>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</si>
  <si>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</si>
  <si>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</si>
  <si>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</si>
  <si>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</si>
  <si>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</si>
  <si>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</si>
  <si>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</si>
  <si>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</si>
  <si>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</si>
  <si>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</si>
  <si>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</si>
  <si>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</si>
  <si>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</si>
  <si>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</si>
  <si>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</si>
  <si>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</si>
  <si>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</si>
  <si>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</si>
  <si>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</si>
  <si>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</si>
  <si>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</si>
  <si>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</si>
  <si>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</si>
  <si>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</si>
  <si>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</si>
  <si>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</si>
  <si>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</si>
  <si>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</si>
  <si>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</si>
  <si>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</si>
  <si>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</si>
  <si>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</si>
  <si>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</si>
  <si>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</si>
  <si>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</si>
  <si>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</si>
  <si>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</si>
  <si>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</si>
  <si>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</si>
  <si>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</si>
  <si>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</si>
  <si>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</si>
  <si>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</si>
  <si>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</si>
  <si>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</si>
  <si>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</si>
  <si>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</si>
  <si>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</si>
  <si>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</si>
  <si>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</si>
  <si>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</si>
  <si>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</si>
  <si>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</si>
  <si>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</si>
  <si>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</si>
  <si>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</si>
  <si>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</si>
  <si>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</si>
  <si>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</si>
  <si>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</si>
  <si>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</si>
  <si>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</si>
  <si>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</si>
  <si>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</si>
  <si>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</si>
  <si>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</si>
  <si>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</si>
  <si>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</si>
  <si>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</si>
  <si>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</si>
  <si>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</si>
  <si>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</si>
  <si>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</si>
  <si>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</si>
  <si>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</si>
  <si>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</si>
  <si>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</si>
  <si>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</si>
  <si>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</si>
  <si>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</si>
  <si>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</si>
  <si>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</si>
  <si>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</si>
  <si>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</si>
  <si>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</si>
  <si>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</si>
  <si>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</si>
  <si>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</si>
  <si>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</si>
  <si>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</si>
  <si>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</si>
  <si>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</si>
  <si>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</si>
  <si>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</si>
  <si>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</si>
  <si>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</si>
  <si>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</si>
  <si>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</si>
  <si>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</si>
  <si>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</si>
  <si>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</si>
  <si>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</si>
  <si>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</si>
  <si>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</si>
  <si>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</si>
  <si>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</si>
  <si>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</si>
  <si>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</si>
  <si>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</si>
  <si>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</si>
  <si>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</si>
  <si>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</si>
  <si>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Medical Plan of Utah, Inc.</t>
  </si>
  <si>
    <t>HUMANA GRP</t>
  </si>
  <si>
    <t>Humana</t>
  </si>
  <si>
    <t>119</t>
  </si>
  <si>
    <t>2015</t>
  </si>
  <si>
    <t>9815 South Monroe Street, Suite 300 Sandy, UT 84070</t>
  </si>
  <si>
    <t>208411422</t>
  </si>
  <si>
    <t>012908</t>
  </si>
  <si>
    <t>12908</t>
  </si>
  <si>
    <t>474</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</si>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</sst>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10651562</v>
      </c>
      <c r="E5" s="213">
        <f>SUM('Pt 2 Premium and Claims'!E$5,'Pt 2 Premium and Claims'!E$6,-'Pt 2 Premium and Claims'!E$7,-'Pt 2 Premium and Claims'!E$13,'Pt 2 Premium and Claims'!E$14:'Pt 2 Premium and Claims'!E$17)</f>
        <v>22624793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22624793</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283342</v>
      </c>
      <c r="AU5" s="214">
        <f>SUM('Pt 2 Premium and Claims'!AU$5,'Pt 2 Premium and Claims'!AU$6,-'Pt 2 Premium and Claims'!AU$7,-'Pt 2 Premium and Claims'!AU$13,'Pt 2 Premium and Claims'!AU$14)</f>
        <v>43970473</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-497449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9937391</v>
      </c>
      <c r="E12" s="213">
        <f>'Pt 2 Premium and Claims'!E$54</f>
        <v>25970854</v>
      </c>
      <c r="F12" s="213">
        <f>'Pt 2 Premium and Claims'!F$54</f>
        <v>0</v>
      </c>
      <c r="G12" s="213">
        <f>'Pt 2 Premium and Claims'!G$54</f>
        <v>0</v>
      </c>
      <c r="H12" s="213">
        <f>'Pt 2 Premium and Claims'!H$54</f>
        <v>0</v>
      </c>
      <c r="I12" s="212">
        <f>'Pt 2 Premium and Claims'!I$54</f>
        <v>25970854</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284139</v>
      </c>
      <c r="AU12" s="214">
        <f>'Pt 2 Premium and Claims'!AU$54</f>
        <v>40478234</v>
      </c>
      <c r="AV12" s="291"/>
      <c r="AW12" s="296"/>
    </row>
    <row r="13" spans="1:49" ht="25.5" x14ac:dyDescent="0.2">
      <c r="B13" s="239" t="s">
        <v>230</v>
      </c>
      <c r="C13" s="203" t="s">
        <v>37</v>
      </c>
      <c r="D13" s="216">
        <v>2969692</v>
      </c>
      <c r="E13" s="217">
        <v>3296537</v>
      </c>
      <c r="F13" s="217"/>
      <c r="G13" s="268"/>
      <c r="H13" s="269"/>
      <c r="I13" s="216">
        <v>3296537</v>
      </c>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5942249</v>
      </c>
      <c r="AV13" s="290"/>
      <c r="AW13" s="297"/>
    </row>
    <row r="14" spans="1:49" ht="25.5" x14ac:dyDescent="0.2">
      <c r="B14" s="239" t="s">
        <v>231</v>
      </c>
      <c r="C14" s="203" t="s">
        <v>6</v>
      </c>
      <c r="D14" s="216">
        <v>316290</v>
      </c>
      <c r="E14" s="217">
        <v>303229</v>
      </c>
      <c r="F14" s="217"/>
      <c r="G14" s="267"/>
      <c r="H14" s="270"/>
      <c r="I14" s="216">
        <v>303229</v>
      </c>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1791279</v>
      </c>
      <c r="AV14" s="290"/>
      <c r="AW14" s="297"/>
    </row>
    <row r="15" spans="1:49" ht="38.25" x14ac:dyDescent="0.2">
      <c r="B15" s="239" t="s">
        <v>232</v>
      </c>
      <c r="C15" s="203" t="s">
        <v>7</v>
      </c>
      <c r="D15" s="216">
        <v>2296</v>
      </c>
      <c r="E15" s="217">
        <v>2296</v>
      </c>
      <c r="F15" s="217"/>
      <c r="G15" s="267"/>
      <c r="H15" s="273"/>
      <c r="I15" s="216">
        <v>2296</v>
      </c>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25</v>
      </c>
      <c r="AU15" s="220">
        <v>3840</v>
      </c>
      <c r="AV15" s="290"/>
      <c r="AW15" s="297"/>
    </row>
    <row r="16" spans="1:49" ht="25.5" x14ac:dyDescent="0.2">
      <c r="B16" s="239" t="s">
        <v>233</v>
      </c>
      <c r="C16" s="203" t="s">
        <v>61</v>
      </c>
      <c r="D16" s="216">
        <v>-2462677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32000</v>
      </c>
      <c r="AU17" s="220">
        <v>1833000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53676</v>
      </c>
      <c r="E22" s="222">
        <f>'Pt 2 Premium and Claims'!E$55</f>
        <v>53676</v>
      </c>
      <c r="F22" s="222">
        <f>'Pt 2 Premium and Claims'!F$55</f>
        <v>0</v>
      </c>
      <c r="G22" s="222">
        <f>'Pt 2 Premium and Claims'!G$55</f>
        <v>0</v>
      </c>
      <c r="H22" s="222">
        <f>'Pt 2 Premium and Claims'!H$55</f>
        <v>0</v>
      </c>
      <c r="I22" s="221">
        <f>'Pt 2 Premium and Claims'!I$55</f>
        <v>53676</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-1541672.41</v>
      </c>
      <c r="E25" s="217">
        <v>-1541672.41</v>
      </c>
      <c r="F25" s="217"/>
      <c r="G25" s="217"/>
      <c r="H25" s="217"/>
      <c r="I25" s="216">
        <v>-6380719</v>
      </c>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-25541.07</v>
      </c>
      <c r="AU25" s="220">
        <v>-1399858.75</v>
      </c>
      <c r="AV25" s="220"/>
      <c r="AW25" s="297"/>
    </row>
    <row r="26" spans="1:49" s="5" customFormat="1" x14ac:dyDescent="0.2">
      <c r="A26" s="35"/>
      <c r="B26" s="242" t="s">
        <v>242</v>
      </c>
      <c r="C26" s="203"/>
      <c r="D26" s="216">
        <v>9058.73</v>
      </c>
      <c r="E26" s="217">
        <v>9059</v>
      </c>
      <c r="F26" s="217"/>
      <c r="G26" s="217"/>
      <c r="H26" s="217"/>
      <c r="I26" s="216">
        <v>9059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440011.43</v>
      </c>
      <c r="E27" s="217">
        <v>440011</v>
      </c>
      <c r="F27" s="217"/>
      <c r="G27" s="217"/>
      <c r="H27" s="217"/>
      <c r="I27" s="216">
        <v>440011</v>
      </c>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4754.62</v>
      </c>
      <c r="AU27" s="220">
        <v>735387.81</v>
      </c>
      <c r="AV27" s="293"/>
      <c r="AW27" s="297"/>
    </row>
    <row r="28" spans="1:49" s="5" customFormat="1" x14ac:dyDescent="0.2">
      <c r="A28" s="35"/>
      <c r="B28" s="242" t="s">
        <v>244</v>
      </c>
      <c r="C28" s="203"/>
      <c r="D28" s="216">
        <v>125141.4</v>
      </c>
      <c r="E28" s="217">
        <v>125141</v>
      </c>
      <c r="F28" s="217"/>
      <c r="G28" s="217"/>
      <c r="H28" s="217"/>
      <c r="I28" s="216">
        <v>125141</v>
      </c>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1224.8</v>
      </c>
      <c r="AU28" s="220">
        <v>123029.21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-81006.38</v>
      </c>
      <c r="E30" s="217">
        <v>-81006.38</v>
      </c>
      <c r="F30" s="217"/>
      <c r="G30" s="217"/>
      <c r="H30" s="217"/>
      <c r="I30" s="216">
        <v>-382365</v>
      </c>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-1450.07</v>
      </c>
      <c r="AU30" s="220">
        <v>-72148.62</v>
      </c>
      <c r="AV30" s="220"/>
      <c r="AW30" s="297"/>
    </row>
    <row r="31" spans="1:49" x14ac:dyDescent="0.2">
      <c r="B31" s="242" t="s">
        <v>247</v>
      </c>
      <c r="C31" s="203"/>
      <c r="D31" s="216"/>
      <c r="E31" s="217"/>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136308.26</v>
      </c>
      <c r="E34" s="217">
        <v>543752</v>
      </c>
      <c r="F34" s="217"/>
      <c r="G34" s="217"/>
      <c r="H34" s="217"/>
      <c r="I34" s="216">
        <v>543752</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1127634.53</v>
      </c>
      <c r="E35" s="217">
        <v>1127635</v>
      </c>
      <c r="F35" s="217"/>
      <c r="G35" s="217"/>
      <c r="H35" s="217"/>
      <c r="I35" s="216">
        <v>1127635</v>
      </c>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397.05</v>
      </c>
      <c r="AU35" s="220">
        <v>41097.49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121148</v>
      </c>
      <c r="E37" s="225">
        <v>121148</v>
      </c>
      <c r="F37" s="225"/>
      <c r="G37" s="225"/>
      <c r="H37" s="225"/>
      <c r="I37" s="224">
        <v>121148</v>
      </c>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562113</v>
      </c>
      <c r="AV37" s="226">
        <v>0</v>
      </c>
      <c r="AW37" s="296"/>
    </row>
    <row r="38" spans="1:49" x14ac:dyDescent="0.2">
      <c r="B38" s="239" t="s">
        <v>254</v>
      </c>
      <c r="C38" s="203" t="s">
        <v>16</v>
      </c>
      <c r="D38" s="216">
        <v>19228</v>
      </c>
      <c r="E38" s="217">
        <v>19228</v>
      </c>
      <c r="F38" s="217"/>
      <c r="G38" s="217"/>
      <c r="H38" s="217"/>
      <c r="I38" s="216">
        <v>19228</v>
      </c>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282450</v>
      </c>
      <c r="AV38" s="220">
        <v>0</v>
      </c>
      <c r="AW38" s="297"/>
    </row>
    <row r="39" spans="1:49" x14ac:dyDescent="0.2">
      <c r="B39" s="242" t="s">
        <v>255</v>
      </c>
      <c r="C39" s="203" t="s">
        <v>17</v>
      </c>
      <c r="D39" s="216">
        <v>50999</v>
      </c>
      <c r="E39" s="217">
        <v>50999</v>
      </c>
      <c r="F39" s="217"/>
      <c r="G39" s="217"/>
      <c r="H39" s="217"/>
      <c r="I39" s="216">
        <v>50999</v>
      </c>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135302</v>
      </c>
      <c r="AV39" s="220">
        <v>0</v>
      </c>
      <c r="AW39" s="297"/>
    </row>
    <row r="40" spans="1:49" x14ac:dyDescent="0.2">
      <c r="B40" s="242" t="s">
        <v>256</v>
      </c>
      <c r="C40" s="203" t="s">
        <v>38</v>
      </c>
      <c r="D40" s="216">
        <v>48528</v>
      </c>
      <c r="E40" s="217">
        <v>48528</v>
      </c>
      <c r="F40" s="217"/>
      <c r="G40" s="217"/>
      <c r="H40" s="217"/>
      <c r="I40" s="216">
        <v>48528</v>
      </c>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493</v>
      </c>
      <c r="AU40" s="220">
        <v>474135</v>
      </c>
      <c r="AV40" s="220">
        <v>0</v>
      </c>
      <c r="AW40" s="297"/>
    </row>
    <row r="41" spans="1:49" s="5" customFormat="1" ht="25.5" x14ac:dyDescent="0.2">
      <c r="A41" s="35"/>
      <c r="B41" s="242" t="s">
        <v>257</v>
      </c>
      <c r="C41" s="203" t="s">
        <v>129</v>
      </c>
      <c r="D41" s="216">
        <v>61758</v>
      </c>
      <c r="E41" s="217">
        <v>61758</v>
      </c>
      <c r="F41" s="217"/>
      <c r="G41" s="217"/>
      <c r="H41" s="217"/>
      <c r="I41" s="216">
        <v>61758</v>
      </c>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611</v>
      </c>
      <c r="AU41" s="220">
        <v>77355</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451736</v>
      </c>
      <c r="E44" s="225">
        <v>451736</v>
      </c>
      <c r="F44" s="225"/>
      <c r="G44" s="225"/>
      <c r="H44" s="225"/>
      <c r="I44" s="224">
        <v>451736</v>
      </c>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3446</v>
      </c>
      <c r="AU44" s="226">
        <v>804655</v>
      </c>
      <c r="AV44" s="226">
        <v>0</v>
      </c>
      <c r="AW44" s="296"/>
    </row>
    <row r="45" spans="1:49" x14ac:dyDescent="0.2">
      <c r="B45" s="245" t="s">
        <v>261</v>
      </c>
      <c r="C45" s="203" t="s">
        <v>19</v>
      </c>
      <c r="D45" s="216">
        <v>455914</v>
      </c>
      <c r="E45" s="217">
        <v>455914</v>
      </c>
      <c r="F45" s="217"/>
      <c r="G45" s="217"/>
      <c r="H45" s="217"/>
      <c r="I45" s="216">
        <v>455914</v>
      </c>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3481</v>
      </c>
      <c r="AU45" s="220">
        <v>432519</v>
      </c>
      <c r="AV45" s="220">
        <v>0</v>
      </c>
      <c r="AW45" s="297"/>
    </row>
    <row r="46" spans="1:49" x14ac:dyDescent="0.2">
      <c r="B46" s="245" t="s">
        <v>262</v>
      </c>
      <c r="C46" s="203" t="s">
        <v>20</v>
      </c>
      <c r="D46" s="216">
        <v>377166</v>
      </c>
      <c r="E46" s="217">
        <v>377166</v>
      </c>
      <c r="F46" s="217"/>
      <c r="G46" s="217"/>
      <c r="H46" s="217"/>
      <c r="I46" s="216">
        <v>377166</v>
      </c>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4308</v>
      </c>
      <c r="AU46" s="220">
        <v>782562</v>
      </c>
      <c r="AV46" s="220">
        <v>0</v>
      </c>
      <c r="AW46" s="297"/>
    </row>
    <row r="47" spans="1:49" x14ac:dyDescent="0.2">
      <c r="B47" s="245" t="s">
        <v>263</v>
      </c>
      <c r="C47" s="203" t="s">
        <v>21</v>
      </c>
      <c r="D47" s="216">
        <v>658966</v>
      </c>
      <c r="E47" s="217">
        <v>658966</v>
      </c>
      <c r="F47" s="217"/>
      <c r="G47" s="217"/>
      <c r="H47" s="217"/>
      <c r="I47" s="216">
        <v>658966</v>
      </c>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27921</v>
      </c>
      <c r="AU47" s="220">
        <v>883360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14063.55</v>
      </c>
      <c r="E49" s="217">
        <v>14064</v>
      </c>
      <c r="F49" s="217"/>
      <c r="G49" s="217"/>
      <c r="H49" s="217"/>
      <c r="I49" s="216">
        <v>14064</v>
      </c>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191.44</v>
      </c>
      <c r="AU49" s="220">
        <v>18265.669999999998</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2323.09</v>
      </c>
      <c r="AV50" s="220"/>
      <c r="AW50" s="297"/>
    </row>
    <row r="51" spans="2:49" x14ac:dyDescent="0.2">
      <c r="B51" s="239" t="s">
        <v>266</v>
      </c>
      <c r="C51" s="203"/>
      <c r="D51" s="216">
        <v>3547826</v>
      </c>
      <c r="E51" s="217">
        <v>3547826</v>
      </c>
      <c r="F51" s="217"/>
      <c r="G51" s="217"/>
      <c r="H51" s="217"/>
      <c r="I51" s="216">
        <v>3547826</v>
      </c>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33665</v>
      </c>
      <c r="AU51" s="220">
        <v>3067514</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6978</v>
      </c>
      <c r="E56" s="229">
        <v>6978</v>
      </c>
      <c r="F56" s="229"/>
      <c r="G56" s="229"/>
      <c r="H56" s="229"/>
      <c r="I56" s="228">
        <v>6978</v>
      </c>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457</v>
      </c>
      <c r="AU56" s="230">
        <v>6366</v>
      </c>
      <c r="AV56" s="230">
        <v>0</v>
      </c>
      <c r="AW56" s="288"/>
    </row>
    <row r="57" spans="2:49" x14ac:dyDescent="0.2">
      <c r="B57" s="245" t="s">
        <v>272</v>
      </c>
      <c r="C57" s="203" t="s">
        <v>25</v>
      </c>
      <c r="D57" s="231">
        <v>10981</v>
      </c>
      <c r="E57" s="232">
        <v>10981</v>
      </c>
      <c r="F57" s="232"/>
      <c r="G57" s="232"/>
      <c r="H57" s="232"/>
      <c r="I57" s="231">
        <v>10981</v>
      </c>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1269</v>
      </c>
      <c r="AU57" s="233">
        <v>6366</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30</v>
      </c>
      <c r="AU58" s="233">
        <v>0</v>
      </c>
      <c r="AV58" s="233">
        <v>0</v>
      </c>
      <c r="AW58" s="289"/>
    </row>
    <row r="59" spans="2:49" x14ac:dyDescent="0.2">
      <c r="B59" s="245" t="s">
        <v>274</v>
      </c>
      <c r="C59" s="203" t="s">
        <v>27</v>
      </c>
      <c r="D59" s="231">
        <v>150230</v>
      </c>
      <c r="E59" s="232">
        <v>150566</v>
      </c>
      <c r="F59" s="232"/>
      <c r="G59" s="232"/>
      <c r="H59" s="232"/>
      <c r="I59" s="231">
        <v>150566</v>
      </c>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17674</v>
      </c>
      <c r="AU59" s="233">
        <v>74975</v>
      </c>
      <c r="AV59" s="233">
        <v>0</v>
      </c>
      <c r="AW59" s="289"/>
    </row>
    <row r="60" spans="2:49" x14ac:dyDescent="0.2">
      <c r="B60" s="245" t="s">
        <v>275</v>
      </c>
      <c r="C60" s="203"/>
      <c r="D60" s="234">
        <f t="shared" ref="D60:AC60" si="0">D$59/12</f>
        <v>12519.166666666666</v>
      </c>
      <c r="E60" s="235">
        <f t="shared" si="0"/>
        <v>12547.166666666666</v>
      </c>
      <c r="F60" s="235">
        <f t="shared" si="0"/>
        <v>0</v>
      </c>
      <c r="G60" s="235">
        <f t="shared" si="0"/>
        <v>0</v>
      </c>
      <c r="H60" s="235">
        <f t="shared" si="0"/>
        <v>0</v>
      </c>
      <c r="I60" s="234">
        <f t="shared" si="0"/>
        <v>12547.166666666666</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1472.8333333333333</v>
      </c>
      <c r="AU60" s="236">
        <f t="shared" si="1"/>
        <v>6247.916666666667</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10651562</v>
      </c>
      <c r="E5" s="326">
        <v>32572721</v>
      </c>
      <c r="F5" s="326"/>
      <c r="G5" s="328"/>
      <c r="H5" s="328"/>
      <c r="I5" s="325">
        <v>32572721</v>
      </c>
      <c r="J5" s="325">
        <v>0</v>
      </c>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283342</v>
      </c>
      <c r="AU5" s="327">
        <v>43970473</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-1047398</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22111</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-12658109</v>
      </c>
      <c r="E11" s="319"/>
      <c r="F11" s="319"/>
      <c r="G11" s="319"/>
      <c r="H11" s="319"/>
      <c r="I11" s="318">
        <v>0</v>
      </c>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120044</v>
      </c>
      <c r="AV11" s="368"/>
      <c r="AW11" s="374"/>
    </row>
    <row r="12" spans="2:49" ht="15" customHeight="1" x14ac:dyDescent="0.2">
      <c r="B12" s="343" t="s">
        <v>282</v>
      </c>
      <c r="C12" s="331" t="s">
        <v>44</v>
      </c>
      <c r="D12" s="318">
        <v>629694</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27780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2400338</v>
      </c>
      <c r="F15" s="319"/>
      <c r="G15" s="319"/>
      <c r="H15" s="319"/>
      <c r="I15" s="318">
        <v>2400338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-12348266</v>
      </c>
      <c r="F16" s="319"/>
      <c r="G16" s="319"/>
      <c r="H16" s="319"/>
      <c r="I16" s="318">
        <v>-12348266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19089207</v>
      </c>
      <c r="F20" s="319"/>
      <c r="G20" s="319"/>
      <c r="H20" s="319"/>
      <c r="I20" s="318">
        <v>19089207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23096161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306675</v>
      </c>
      <c r="AU23" s="321">
        <v>42181022</v>
      </c>
      <c r="AV23" s="368"/>
      <c r="AW23" s="374"/>
    </row>
    <row r="24" spans="2:49" ht="28.5" customHeight="1" x14ac:dyDescent="0.2">
      <c r="B24" s="345" t="s">
        <v>114</v>
      </c>
      <c r="C24" s="331"/>
      <c r="D24" s="365"/>
      <c r="E24" s="319">
        <v>25962976</v>
      </c>
      <c r="F24" s="319"/>
      <c r="G24" s="319"/>
      <c r="H24" s="319"/>
      <c r="I24" s="318">
        <v>25962976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4057384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23028</v>
      </c>
      <c r="AU26" s="321">
        <v>3701720</v>
      </c>
      <c r="AV26" s="368"/>
      <c r="AW26" s="374"/>
    </row>
    <row r="27" spans="2:49" s="5" customFormat="1" ht="25.5" x14ac:dyDescent="0.2">
      <c r="B27" s="345" t="s">
        <v>85</v>
      </c>
      <c r="C27" s="331"/>
      <c r="D27" s="365"/>
      <c r="E27" s="319">
        <v>311107</v>
      </c>
      <c r="F27" s="319"/>
      <c r="G27" s="319"/>
      <c r="H27" s="319"/>
      <c r="I27" s="318">
        <v>311107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3855175</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45564</v>
      </c>
      <c r="AU28" s="321">
        <v>4556643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-1047398</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22111</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-12658109</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120044</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629694</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27780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1045346</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97012</v>
      </c>
      <c r="E49" s="319">
        <v>303229</v>
      </c>
      <c r="F49" s="319"/>
      <c r="G49" s="319"/>
      <c r="H49" s="319"/>
      <c r="I49" s="318">
        <v>303229</v>
      </c>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1287627</v>
      </c>
      <c r="AV49" s="368"/>
      <c r="AW49" s="374"/>
    </row>
    <row r="50" spans="2:49" x14ac:dyDescent="0.2">
      <c r="B50" s="343" t="s">
        <v>119</v>
      </c>
      <c r="C50" s="331" t="s">
        <v>34</v>
      </c>
      <c r="D50" s="318">
        <v>25888</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325387</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9937391</v>
      </c>
      <c r="E54" s="323">
        <f>E24+E27+E31+E35-E36+E39+E42+E45+E46-E49+E51+E52+E53</f>
        <v>25970854</v>
      </c>
      <c r="F54" s="323">
        <f>F24+F27+F31+F35-F36+F39+F42+F45+F46-F49+F51+F52+F53</f>
        <v>0</v>
      </c>
      <c r="G54" s="323">
        <f>G24+G27+G31+G35-G36+G39+G42+G45+G46-G49+G51+G52+G53</f>
        <v>0</v>
      </c>
      <c r="H54" s="323">
        <f>H24+H27+H31+H35-H36+H39+H42+H45+H46-H49+H51+H52+H53</f>
        <v>0</v>
      </c>
      <c r="I54" s="322">
        <f>I24+I27+I31+I35-I36+I39+I42+I45+I46-I49+I51+I52+I53</f>
        <v>25970854</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284139</v>
      </c>
      <c r="AU54" s="324">
        <f>AU23+AU26-AU28+AU30-AU32+AU34-AU36+AU38+AU41-AU43+AU45+AU46-AU47-AU49+AU50+AU51+AU52+AU53</f>
        <v>40478234</v>
      </c>
      <c r="AV54" s="368"/>
      <c r="AW54" s="374"/>
    </row>
    <row r="55" spans="2:49" ht="25.5" x14ac:dyDescent="0.2">
      <c r="B55" s="348" t="s">
        <v>493</v>
      </c>
      <c r="C55" s="335" t="s">
        <v>28</v>
      </c>
      <c r="D55" s="322">
        <f t="shared" ref="D55:AC55" si="0">MIN(MAX(0,D56),MAX(0,D57))</f>
        <v>53676</v>
      </c>
      <c r="E55" s="323">
        <f t="shared" si="0"/>
        <v>53676</v>
      </c>
      <c r="F55" s="323">
        <f t="shared" si="0"/>
        <v>0</v>
      </c>
      <c r="G55" s="323">
        <f t="shared" si="0"/>
        <v>0</v>
      </c>
      <c r="H55" s="323">
        <f t="shared" si="0"/>
        <v>0</v>
      </c>
      <c r="I55" s="322">
        <f t="shared" si="0"/>
        <v>53676</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80664.19</v>
      </c>
      <c r="E56" s="319">
        <v>80664</v>
      </c>
      <c r="F56" s="319"/>
      <c r="G56" s="319"/>
      <c r="H56" s="319"/>
      <c r="I56" s="318">
        <v>80664</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53676</v>
      </c>
      <c r="E57" s="319">
        <v>53676</v>
      </c>
      <c r="F57" s="319"/>
      <c r="G57" s="319"/>
      <c r="H57" s="319"/>
      <c r="I57" s="318">
        <v>53676</v>
      </c>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75</v>
      </c>
      <c r="AU57" s="321">
        <v>416514</v>
      </c>
      <c r="AV57" s="321">
        <v>0</v>
      </c>
      <c r="AW57" s="374"/>
    </row>
    <row r="58" spans="2:49" s="5" customFormat="1" x14ac:dyDescent="0.2">
      <c r="B58" s="351" t="s">
        <v>494</v>
      </c>
      <c r="C58" s="352"/>
      <c r="D58" s="353"/>
      <c r="E58" s="354">
        <v>3428138.35</v>
      </c>
      <c r="F58" s="354"/>
      <c r="G58" s="354"/>
      <c r="H58" s="354"/>
      <c r="I58" s="353">
        <v>3132586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24776219.66</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23549803.710000001</v>
      </c>
      <c r="E6" s="400">
        <f>SUM('Pt 1 Summary of Data'!E$12,'Pt 1 Summary of Data'!E$22)+SUM('Pt 1 Summary of Data'!G$12,'Pt 1 Summary of Data'!G$22)-SUM('Pt 1 Summary of Data'!H$12,'Pt 1 Summary of Data'!H$22)</f>
        <v>26024530</v>
      </c>
      <c r="F6" s="400">
        <f t="shared" ref="F6:F11" si="0">SUM(C6:E6)</f>
        <v>49574333.710000001</v>
      </c>
      <c r="G6" s="401">
        <f>SUM('Pt 1 Summary of Data'!I$12,'Pt 1 Summary of Data'!I$22)</f>
        <v>26024530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c r="D7" s="398">
        <v>218550.07</v>
      </c>
      <c r="E7" s="400">
        <f>SUM('Pt 1 Summary of Data'!E$37:E$41)+SUM('Pt 1 Summary of Data'!G$37:G$41)-SUM('Pt 1 Summary of Data'!H$37:H$41)+MAX(0,MIN('Pt 1 Summary of Data'!E$42+'Pt 1 Summary of Data'!G$42-'Pt 1 Summary of Data'!H$42,0.3%*('Pt 1 Summary of Data'!E$5+'Pt 1 Summary of Data'!G$5-'Pt 1 Summary of Data'!H$5-SUM(E$9:E$11))))</f>
        <v>301661</v>
      </c>
      <c r="F7" s="400">
        <f t="shared" si="0"/>
        <v>520211.07</v>
      </c>
      <c r="G7" s="401">
        <f>SUM('Pt 1 Summary of Data'!I$37:I$41)+MAX(0,MIN(VALUE('Pt 1 Summary of Data'!I$42),0.3%*('Pt 1 Summary of Data'!I$5-SUM(G$9:G$10))))</f>
        <v>301661</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2517933.46</v>
      </c>
      <c r="E8" s="400">
        <f>'Pt 2 Premium and Claims'!E58+'Pt 2 Premium and Claims'!G58-'Pt 2 Premium and Claims'!H58</f>
        <v>3428138.35</v>
      </c>
      <c r="F8" s="400">
        <f t="shared" si="0"/>
        <v>5946071.8100000005</v>
      </c>
      <c r="G8" s="401">
        <f>'Pt 2 Premium and Claims'!I58</f>
        <v>3132586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3555669.52</v>
      </c>
      <c r="E9" s="400">
        <f>'Pt 2 Premium and Claims'!E$15+'Pt 2 Premium and Claims'!G$15-'Pt 2 Premium and Claims'!H$15</f>
        <v>2400338</v>
      </c>
      <c r="F9" s="400">
        <f t="shared" si="0"/>
        <v>5956007.5199999996</v>
      </c>
      <c r="G9" s="401">
        <f>'Pt 2 Premium and Claims'!I$15</f>
        <v>2400338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-9861880.0700000003</v>
      </c>
      <c r="E10" s="400">
        <f>'Pt 2 Premium and Claims'!E$16+'Pt 2 Premium and Claims'!G$16-'Pt 2 Premium and Claims'!H$16</f>
        <v>-12348266</v>
      </c>
      <c r="F10" s="400">
        <f t="shared" si="0"/>
        <v>-22210146.07</v>
      </c>
      <c r="G10" s="401">
        <f>'Pt 2 Premium and Claims'!I$16</f>
        <v>-12348266</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1174304.1399999999</v>
      </c>
      <c r="E11" s="400">
        <f>'Pt 2 Premium and Claims'!E$17+'Pt 2 Premium and Claims'!G$17-'Pt 2 Premium and Claims'!H$17</f>
        <v>0</v>
      </c>
      <c r="F11" s="400">
        <f t="shared" si="0"/>
        <v>1174304.1399999999</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26382326.73</v>
      </c>
      <c r="E12" s="400">
        <f>SUM(E$6:E$7)-SUM(E$8:E$11)+IF(AND(OR('Company Information'!$C$12="District of Columbia",'Company Information'!$C$12="Massachusetts",'Company Information'!$C$12="Vermont"),SUM($C$6:$F$11,$C$15:$F$16,$C$38:$D$38)&lt;&gt;0),SUM(J$6:J$7)-SUM(J$10:J$11),0)</f>
        <v>32845980.649999999</v>
      </c>
      <c r="F12" s="400">
        <f>IFERROR(SUM(C$12:E$12)+C$17*MAX(0,E$50-C$50)+D$17*MAX(0,E$50-D$50),0)</f>
        <v>59228307.379999995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23750751.719999999</v>
      </c>
      <c r="E15" s="395">
        <f>SUM('Pt 1 Summary of Data'!E$5:E$7)+SUM('Pt 1 Summary of Data'!G$5:G$7)-SUM('Pt 1 Summary of Data'!H$5:H$7)-SUM(E$9:E$11)</f>
        <v>32572721</v>
      </c>
      <c r="F15" s="395">
        <f>SUM(C15:E15)</f>
        <v>56323472.719999999</v>
      </c>
      <c r="G15" s="396">
        <f>SUM('Pt 1 Summary of Data'!I$5:I$7)-SUM(G$9:G$10)</f>
        <v>32572721</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c r="D16" s="398">
        <v>2712108.36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622919.21000000008</v>
      </c>
      <c r="F16" s="400">
        <f>SUM(C16:E16)</f>
        <v>3335027.57</v>
      </c>
      <c r="G16" s="401">
        <f>SUM('Pt 1 Summary of Data'!I$25:I$28,'Pt 1 Summary of Data'!I$30,'Pt 1 Summary of Data'!I$34:I$35)+IF('Company Information'!$C$15="No",IF(MAX('Pt 1 Summary of Data'!I$31:I$32)=0,MIN('Pt 1 Summary of Data'!I$31:I$32),MAX('Pt 1 Summary of Data'!I$31:I$32)),SUM('Pt 1 Summary of Data'!I$31:I$32))</f>
        <v>-4517486</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2731.04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2731.04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21038643.359999999</v>
      </c>
      <c r="E17" s="400">
        <f>E$15-E$16+IF(AND(OR('Company Information'!$C$12="District of Columbia",'Company Information'!$C$12="Massachusetts",'Company Information'!$C$12="Vermont"),SUM($C$6:$F$11,$C$15:$F$16,$C$38:$D$38)&lt;&gt;0),J$15-J$16,0)</f>
        <v>31949801.789999999</v>
      </c>
      <c r="F17" s="400">
        <f>F$15-F$16+IF(AND(OR('Company Information'!$C$12="District of Columbia",'Company Information'!$C$12="Massachusetts",'Company Information'!$C$12="Vermont"),SUM($C$6:$F$11,$C$15:$F$16,$C$38:$D$38)&lt;&gt;0),K$15-K$16,0)</f>
        <v>52988445.149999999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-2731.04</v>
      </c>
      <c r="O17" s="400">
        <f>O$15-O$16</f>
        <v>0</v>
      </c>
      <c r="P17" s="400">
        <f>P$15-P$16</f>
        <v>-2731.04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31601340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5505672</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1854510.35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-16805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1854510.35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1112706.21</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2842696.3499999996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2842696.3499999996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3642359.54</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29730024.649999999</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2100892.21</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1112706.21</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2100892.21</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2900555.4000000004</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30471828.789999999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1.0370673915827027</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107678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107678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9936</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12547.166666666666</v>
      </c>
      <c r="F38" s="432">
        <f>SUM(C$38:E$38)+IF(AND(OR('Company Information'!$C$12="District of Columbia",'Company Information'!$C$12="Massachusetts",'Company Information'!$C$12="Vermont"),SUM($C$6:$F$11,$C$15:$F$16,$C$38:$D$38)&lt;&gt;0,SUM(C$38:D$38)&lt;&gt;SUM(H$38:I$38)),SUM(H$38:I$38),0)</f>
        <v>22483.166666666664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1.7677888888888889E-2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4600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 ca="1">IF(OR(F$38&lt;1000,F$38&gt;=75000),0,F$39*F$41)</f>
        <v>2.411122621333333E-2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1.2539937237664169</v>
      </c>
      <c r="E45" s="436">
        <f>IF(OR(E$38&lt;1000,E$17&lt;=0),"",E$12/E$17)</f>
        <v>1.0280495906012317</v>
      </c>
      <c r="F45" s="436">
        <f>IF(OR(F$38&lt;1000,F$17&lt;=0),"",F$12/F$17)</f>
        <v>1.1177589229564324</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 ca="1">IF(F$45="","",F$42)</f>
        <v>2.411122621333333E-2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 ca="1">IF(F$45="","",ROUND(F$45+MAX(0,F$47),3))</f>
        <v>1.1419999999999999</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1.1419999999999999</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31949801.789999999</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-1540193</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24776219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23236026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6978</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t="s">
        <v>510</v>
      </c>
      <c r="E30" s="7"/>
    </row>
    <row r="31" spans="2:5" ht="35.25" customHeight="1" x14ac:dyDescent="0.2">
      <c r="B31" s="134"/>
      <c r="C31" s="113"/>
      <c r="D31" s="137" t="s">
        <v>511</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t="s">
        <v>513</v>
      </c>
      <c r="E35" s="7"/>
    </row>
    <row r="36" spans="2:5" ht="35.25" customHeight="1" x14ac:dyDescent="0.2">
      <c r="B36" s="134"/>
      <c r="C36" s="113"/>
      <c r="D36" s="137" t="s">
        <v>514</v>
      </c>
      <c r="E36" s="7"/>
    </row>
    <row r="37" spans="2:5" ht="35.25" customHeight="1" x14ac:dyDescent="0.2">
      <c r="B37" s="134"/>
      <c r="C37" s="113"/>
      <c r="D37" s="137" t="s">
        <v>515</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t="s">
        <v>518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t="s">
        <v>520</v>
      </c>
      <c r="E57" s="7"/>
    </row>
    <row r="58" spans="2:5" ht="35.25" customHeight="1" x14ac:dyDescent="0.2">
      <c r="B58" s="134"/>
      <c r="C58" s="115"/>
      <c r="D58" s="137" t="s">
        <v>521</v>
      </c>
      <c r="E58" s="7"/>
    </row>
    <row r="59" spans="2:5" ht="35.25" customHeight="1" x14ac:dyDescent="0.2">
      <c r="B59" s="134"/>
      <c r="C59" s="115"/>
      <c r="D59" s="137" t="s">
        <v>522</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t="s">
        <v>520</v>
      </c>
      <c r="E68" s="7"/>
    </row>
    <row r="69" spans="2:5" ht="35.25" customHeight="1" x14ac:dyDescent="0.2">
      <c r="B69" s="134"/>
      <c r="C69" s="115"/>
      <c r="D69" s="137" t="s">
        <v>521</v>
      </c>
      <c r="E69" s="7"/>
    </row>
    <row r="70" spans="2:5" ht="35.25" customHeight="1" x14ac:dyDescent="0.2">
      <c r="B70" s="134"/>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t="s">
        <v>520</v>
      </c>
      <c r="E90" s="7"/>
    </row>
    <row r="91" spans="2:5" ht="35.25" customHeight="1" x14ac:dyDescent="0.2">
      <c r="B91" s="134"/>
      <c r="C91" s="115"/>
      <c r="D91" s="137" t="s">
        <v>521</v>
      </c>
      <c r="E91" s="7"/>
    </row>
    <row r="92" spans="2:5" ht="35.25" customHeight="1" x14ac:dyDescent="0.2">
      <c r="B92" s="134"/>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523</v>
      </c>
      <c r="E100" s="7"/>
    </row>
    <row r="101" spans="2:5" ht="35.25" customHeight="1" x14ac:dyDescent="0.2">
      <c r="B101" s="134"/>
      <c r="C101" s="115"/>
      <c r="D101" s="137" t="s">
        <v>524</v>
      </c>
      <c r="E101" s="7"/>
    </row>
    <row r="102" spans="2:5" ht="35.25" customHeight="1" x14ac:dyDescent="0.2">
      <c r="B102" s="134"/>
      <c r="C102" s="115"/>
      <c r="D102" s="137" t="s">
        <v>525</v>
      </c>
      <c r="E102" s="7"/>
    </row>
    <row r="103" spans="2:5" ht="35.25" customHeight="1" x14ac:dyDescent="0.2">
      <c r="B103" s="134"/>
      <c r="C103" s="115"/>
      <c r="D103" s="137" t="s">
        <v>526</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t="s">
        <v>520</v>
      </c>
      <c r="E112" s="27"/>
    </row>
    <row r="113" spans="2:5" s="5" customFormat="1" ht="35.25" customHeight="1" x14ac:dyDescent="0.2">
      <c r="B113" s="134"/>
      <c r="C113" s="115"/>
      <c r="D113" s="137" t="s">
        <v>521</v>
      </c>
      <c r="E113" s="27"/>
    </row>
    <row r="114" spans="2:5" s="5" customFormat="1" ht="35.25" customHeight="1" x14ac:dyDescent="0.2">
      <c r="B114" s="134"/>
      <c r="C114" s="115"/>
      <c r="D114" s="137" t="s">
        <v>522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519</v>
      </c>
      <c r="E123" s="7"/>
    </row>
    <row r="124" spans="2:5" s="5" customFormat="1" ht="35.25" customHeight="1" x14ac:dyDescent="0.2">
      <c r="B124" s="134"/>
      <c r="C124" s="113"/>
      <c r="D124" s="137" t="s">
        <v>520</v>
      </c>
      <c r="E124" s="27"/>
    </row>
    <row r="125" spans="2:5" s="5" customFormat="1" ht="35.25" customHeight="1" x14ac:dyDescent="0.2">
      <c r="B125" s="134"/>
      <c r="C125" s="113"/>
      <c r="D125" s="137" t="s">
        <v>521</v>
      </c>
      <c r="E125" s="27"/>
    </row>
    <row r="126" spans="2:5" s="5" customFormat="1" ht="35.25" customHeight="1" x14ac:dyDescent="0.2">
      <c r="B126" s="134"/>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519</v>
      </c>
      <c r="E134" s="27"/>
    </row>
    <row r="135" spans="2:5" s="5" customFormat="1" ht="35.25" customHeight="1" x14ac:dyDescent="0.2">
      <c r="B135" s="134"/>
      <c r="C135" s="113"/>
      <c r="D135" s="137" t="s">
        <v>520</v>
      </c>
      <c r="E135" s="27"/>
    </row>
    <row r="136" spans="2:5" s="5" customFormat="1" ht="35.25" customHeight="1" x14ac:dyDescent="0.2">
      <c r="B136" s="134"/>
      <c r="C136" s="113"/>
      <c r="D136" s="137" t="s">
        <v>521</v>
      </c>
      <c r="E136" s="27"/>
    </row>
    <row r="137" spans="2:5" s="5" customFormat="1" ht="35.25" customHeight="1" x14ac:dyDescent="0.2">
      <c r="B137" s="134"/>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t="s">
        <v>521</v>
      </c>
      <c r="E146" s="27"/>
    </row>
    <row r="147" spans="2:5" s="5" customFormat="1" ht="35.25" customHeight="1" x14ac:dyDescent="0.2">
      <c r="B147" s="134"/>
      <c r="C147" s="113"/>
      <c r="D147" s="137" t="s">
        <v>522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t="s">
        <v>521</v>
      </c>
      <c r="E168" s="27"/>
    </row>
    <row r="169" spans="2:5" s="5" customFormat="1" ht="35.25" customHeight="1" x14ac:dyDescent="0.2">
      <c r="B169" s="134"/>
      <c r="C169" s="113"/>
      <c r="D169" s="137" t="s">
        <v>522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520</v>
      </c>
      <c r="E178" s="27"/>
    </row>
    <row r="179" spans="2:5" s="5" customFormat="1" ht="35.25" customHeight="1" x14ac:dyDescent="0.2">
      <c r="B179" s="134"/>
      <c r="C179" s="113"/>
      <c r="D179" s="137" t="s">
        <v>521</v>
      </c>
      <c r="E179" s="27"/>
    </row>
    <row r="180" spans="2:5" s="5" customFormat="1" ht="35.25" customHeight="1" x14ac:dyDescent="0.2">
      <c r="B180" s="134"/>
      <c r="C180" s="113"/>
      <c r="D180" s="137" t="s">
        <v>522</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t="s">
        <v>520</v>
      </c>
      <c r="E201" s="27"/>
    </row>
    <row r="202" spans="2:5" s="5" customFormat="1" ht="35.25" customHeight="1" x14ac:dyDescent="0.2">
      <c r="B202" s="134"/>
      <c r="C202" s="113"/>
      <c r="D202" s="137" t="s">
        <v>521</v>
      </c>
      <c r="E202" s="27"/>
    </row>
    <row r="203" spans="2:5" s="5" customFormat="1" ht="35.25" customHeight="1" x14ac:dyDescent="0.2">
      <c r="B203" s="134"/>
      <c r="C203" s="113"/>
      <c r="D203" s="137" t="s">
        <v>522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