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dworak\Desktop\MLR Folder\2015 MLR Submission\"/>
    </mc:Choice>
  </mc:AlternateContent>
  <workbookProtection lockStructure="1"/>
  <bookViews>
    <workbookView xWindow="0" yWindow="0" windowWidth="28800" windowHeight="1221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52" i="10" l="1"/>
  <c r="F52" i="10"/>
  <c r="F15" i="10"/>
  <c r="L32" i="10"/>
  <c r="L27" i="10"/>
  <c r="L10" i="10"/>
  <c r="P48" i="10" l="1"/>
  <c r="K48" i="10"/>
  <c r="E4" i="16"/>
  <c r="D4" i="16"/>
  <c r="C4" i="16"/>
  <c r="P52" i="10"/>
  <c r="P51" i="10"/>
  <c r="K51" i="10"/>
  <c r="D45" i="10"/>
  <c r="P47" i="10"/>
  <c r="K47" i="10"/>
  <c r="F47" i="10"/>
  <c r="P45" i="10"/>
  <c r="O45" i="10"/>
  <c r="N45" i="10"/>
  <c r="K45" i="10"/>
  <c r="J45" i="10"/>
  <c r="I45" i="10"/>
  <c r="E45" i="10"/>
  <c r="P42" i="10"/>
  <c r="K42" i="10"/>
  <c r="P38" i="10"/>
  <c r="O38" i="10"/>
  <c r="K38" i="10"/>
  <c r="J38" i="10"/>
  <c r="F42" i="10"/>
  <c r="F38" i="10"/>
  <c r="E38" i="10"/>
  <c r="L33" i="10" l="1"/>
  <c r="L29" i="10"/>
  <c r="L31" i="10"/>
  <c r="L30" i="10"/>
  <c r="L28" i="10"/>
  <c r="L25" i="10"/>
  <c r="L26" i="10"/>
  <c r="L21" i="10"/>
  <c r="L24" i="10"/>
  <c r="L23" i="10"/>
  <c r="L20" i="10"/>
  <c r="L19" i="10"/>
  <c r="L34" i="10" s="1"/>
  <c r="K17" i="10"/>
  <c r="J17" i="10"/>
  <c r="P16" i="10"/>
  <c r="P15" i="10"/>
  <c r="P17" i="10"/>
  <c r="O17" i="10"/>
  <c r="O15" i="10"/>
  <c r="L15" i="10"/>
  <c r="K15" i="10"/>
  <c r="J15" i="10"/>
  <c r="L16" i="10"/>
  <c r="K16" i="10"/>
  <c r="O16" i="10"/>
  <c r="J16" i="10"/>
  <c r="I17" i="10"/>
  <c r="N17" i="10"/>
  <c r="P12" i="10"/>
  <c r="O12" i="10"/>
  <c r="N12" i="10"/>
  <c r="J12" i="10"/>
  <c r="I12" i="10"/>
  <c r="I5" i="18"/>
  <c r="L22" i="10" l="1"/>
  <c r="G20" i="10"/>
  <c r="D17" i="10"/>
  <c r="G16" i="10"/>
  <c r="F16" i="10"/>
  <c r="E16" i="10"/>
  <c r="D15" i="10"/>
  <c r="D12" i="10"/>
  <c r="G8" i="10"/>
  <c r="P7" i="10" l="1"/>
  <c r="O7" i="10"/>
  <c r="K11" i="10"/>
  <c r="K12" i="10" s="1"/>
  <c r="K10" i="10"/>
  <c r="L7" i="10"/>
  <c r="K7" i="10"/>
  <c r="J7" i="10"/>
  <c r="G10" i="10"/>
  <c r="G9" i="10"/>
  <c r="G7" i="10"/>
  <c r="F11" i="10"/>
  <c r="F10" i="10"/>
  <c r="F9" i="10"/>
  <c r="F8" i="10"/>
  <c r="F7" i="10"/>
  <c r="E10" i="10"/>
  <c r="E9" i="10"/>
  <c r="E7" i="10"/>
  <c r="I56" i="4" l="1"/>
  <c r="I57" i="4"/>
  <c r="I59" i="4"/>
  <c r="I60" i="4"/>
  <c r="E60" i="4"/>
  <c r="E59" i="4"/>
  <c r="E57" i="4"/>
  <c r="E56" i="4"/>
  <c r="D60" i="4"/>
  <c r="O60" i="4"/>
  <c r="O59" i="4"/>
  <c r="O58" i="4"/>
  <c r="O57" i="4"/>
  <c r="O56" i="4"/>
  <c r="K60" i="4"/>
  <c r="K59" i="4"/>
  <c r="K58" i="4"/>
  <c r="K57" i="4"/>
  <c r="K56" i="4"/>
  <c r="J60" i="4"/>
  <c r="Q60" i="4"/>
  <c r="Q59" i="4"/>
  <c r="Q58" i="4"/>
  <c r="Q57" i="4"/>
  <c r="Q56" i="4"/>
  <c r="P60" i="4"/>
  <c r="Q51" i="4"/>
  <c r="Q47" i="4"/>
  <c r="Q46" i="4"/>
  <c r="Q45" i="4"/>
  <c r="P51" i="4"/>
  <c r="P45" i="4"/>
  <c r="O51" i="4"/>
  <c r="O47" i="4"/>
  <c r="O46" i="4"/>
  <c r="O45" i="4"/>
  <c r="K45" i="4"/>
  <c r="K46" i="4"/>
  <c r="K47" i="4"/>
  <c r="K51" i="4"/>
  <c r="J51" i="4"/>
  <c r="J45" i="4"/>
  <c r="Q44" i="4"/>
  <c r="O44" i="4"/>
  <c r="K44" i="4"/>
  <c r="P44" i="4"/>
  <c r="J44" i="4"/>
  <c r="D51" i="4"/>
  <c r="E51" i="4" s="1"/>
  <c r="I51" i="4" s="1"/>
  <c r="I46" i="4"/>
  <c r="I45" i="4"/>
  <c r="I44" i="4"/>
  <c r="I47" i="4"/>
  <c r="E47" i="4"/>
  <c r="E46" i="4"/>
  <c r="E45" i="4"/>
  <c r="E44" i="4"/>
  <c r="D44" i="4"/>
  <c r="Q41" i="4"/>
  <c r="Q40" i="4"/>
  <c r="Q39" i="4"/>
  <c r="Q38" i="4"/>
  <c r="Q37" i="4"/>
  <c r="O39" i="4"/>
  <c r="O40" i="4"/>
  <c r="O41" i="4"/>
  <c r="O38" i="4"/>
  <c r="O37" i="4"/>
  <c r="K39" i="4"/>
  <c r="K40" i="4"/>
  <c r="K41" i="4"/>
  <c r="K38" i="4"/>
  <c r="K37" i="4"/>
  <c r="I41" i="4"/>
  <c r="I40" i="4"/>
  <c r="I39" i="4"/>
  <c r="I38" i="4"/>
  <c r="I37" i="4"/>
  <c r="E37" i="4"/>
  <c r="E38" i="4"/>
  <c r="E39" i="4"/>
  <c r="E40" i="4"/>
  <c r="E41" i="4"/>
  <c r="I35" i="4"/>
  <c r="E35" i="4"/>
  <c r="I34" i="4"/>
  <c r="Q28" i="4"/>
  <c r="O28" i="4"/>
  <c r="I26" i="4"/>
  <c r="I28" i="4"/>
  <c r="K28" i="4"/>
  <c r="E28" i="4"/>
  <c r="Q13" i="4" l="1"/>
  <c r="O13" i="4"/>
  <c r="K13" i="4"/>
  <c r="I13" i="4"/>
  <c r="E13" i="4"/>
  <c r="P12" i="4"/>
  <c r="J12" i="4"/>
  <c r="E12" i="4"/>
  <c r="D12" i="4"/>
  <c r="Q5" i="4"/>
  <c r="P5" i="4"/>
  <c r="K5" i="4"/>
  <c r="O5" i="4" s="1"/>
  <c r="J5" i="4"/>
  <c r="E5" i="4"/>
  <c r="D5" i="4"/>
  <c r="Q54" i="18"/>
  <c r="O6" i="10" s="1"/>
  <c r="P6" i="10" s="1"/>
  <c r="P54" i="18"/>
  <c r="K54" i="18"/>
  <c r="J6" i="10" s="1"/>
  <c r="J54" i="18"/>
  <c r="O27" i="18"/>
  <c r="O54" i="18" s="1"/>
  <c r="O24" i="18"/>
  <c r="O7" i="18"/>
  <c r="O6" i="18"/>
  <c r="O5" i="18"/>
  <c r="D54" i="18"/>
  <c r="E54" i="18"/>
  <c r="E6" i="10" s="1"/>
  <c r="I27" i="18"/>
  <c r="I54" i="18" s="1"/>
  <c r="I24" i="18"/>
  <c r="I5" i="4" l="1"/>
  <c r="F17" i="10"/>
  <c r="F45" i="10" s="1"/>
  <c r="F48" i="10" s="1"/>
  <c r="F51" i="10" s="1"/>
  <c r="G15" i="10"/>
  <c r="E15" i="10"/>
  <c r="E17" i="10" s="1"/>
  <c r="Q12" i="4"/>
  <c r="L6" i="10"/>
  <c r="K6" i="10"/>
  <c r="K12" i="4"/>
  <c r="O12" i="4" s="1"/>
  <c r="G6" i="10"/>
  <c r="G19" i="10" s="1"/>
  <c r="I12" i="4"/>
  <c r="E12" i="10"/>
  <c r="F6" i="10"/>
  <c r="F12" i="10" s="1"/>
  <c r="G24" i="10" l="1"/>
  <c r="G30" i="10" s="1"/>
  <c r="G31" i="10" s="1"/>
  <c r="G29" i="10" s="1"/>
  <c r="G27" i="10"/>
  <c r="G23" i="10"/>
  <c r="G21" i="10" s="1"/>
  <c r="G26" i="10" s="1"/>
  <c r="G25" i="10" s="1"/>
  <c r="G28" i="10" s="1"/>
  <c r="G33" i="10"/>
  <c r="G34" i="10" s="1"/>
  <c r="G32" i="10"/>
  <c r="G22" i="10"/>
</calcChain>
</file>

<file path=xl/sharedStrings.xml><?xml version="1.0" encoding="utf-8"?>
<sst xmlns="http://schemas.openxmlformats.org/spreadsheetml/2006/main" count="598" uniqueCount="529">
  <si>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</si>
  <si>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</si>
  <si>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</si>
  <si>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</si>
  <si>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</si>
  <si>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</si>
  <si>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</si>
  <si>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</si>
  <si>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</si>
  <si>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</si>
  <si>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</si>
  <si>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</si>
  <si>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</si>
  <si>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</si>
  <si>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</si>
  <si>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</si>
  <si>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</si>
  <si>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</si>
  <si>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</si>
  <si>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</si>
  <si>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</si>
  <si>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</si>
  <si>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</si>
  <si>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</si>
  <si>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</si>
  <si>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</si>
  <si>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</si>
  <si>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</si>
  <si>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</si>
  <si>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</si>
  <si>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</si>
  <si>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</si>
  <si>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</si>
  <si>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</si>
  <si>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</si>
  <si>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</si>
  <si>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</si>
  <si>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</si>
  <si>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</si>
  <si>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</si>
  <si>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</si>
  <si>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</si>
  <si>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</si>
  <si>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</si>
  <si>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</si>
  <si>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</si>
  <si>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</si>
  <si>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</si>
  <si>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</si>
  <si>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</si>
  <si>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</si>
  <si>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</si>
  <si>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</si>
  <si>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</si>
  <si>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</si>
  <si>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</si>
  <si>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</si>
  <si>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</si>
  <si>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</si>
  <si>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</si>
  <si>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</si>
  <si>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</si>
  <si>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</si>
  <si>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</si>
  <si>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</si>
  <si>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</si>
  <si>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</si>
  <si>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</si>
  <si>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</si>
  <si>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</si>
  <si>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</si>
  <si>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</si>
  <si>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</si>
  <si>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</si>
  <si>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</si>
  <si>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</si>
  <si>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</si>
  <si>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</si>
  <si>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</si>
  <si>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</si>
  <si>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</si>
  <si>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</si>
  <si>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</si>
  <si>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</si>
  <si>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</si>
  <si>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</si>
  <si>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</si>
  <si>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</si>
  <si>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</si>
  <si>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</si>
  <si>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</si>
  <si>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</si>
  <si>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</si>
  <si>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</si>
  <si>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</si>
  <si>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</si>
  <si>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</si>
  <si>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</si>
  <si>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</si>
  <si>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</si>
  <si>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</si>
  <si>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</si>
  <si>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</si>
  <si>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</si>
  <si>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</si>
  <si>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</si>
  <si>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</si>
  <si>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</si>
  <si>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</si>
  <si>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</si>
  <si>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</si>
  <si>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</si>
  <si>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</si>
  <si>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</si>
  <si>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</si>
  <si>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</si>
  <si>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</si>
  <si>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</si>
  <si>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</si>
  <si>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</si>
  <si>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</si>
  <si>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</si>
  <si>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</si>
  <si>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</si>
  <si>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</si>
  <si>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</si>
  <si>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</si>
  <si>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</si>
  <si>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</si>
  <si>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</si>
  <si>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</si>
  <si>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</si>
  <si>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</si>
  <si>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</si>
  <si>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</si>
  <si>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</si>
  <si>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</si>
  <si>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</si>
  <si>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</si>
  <si>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</si>
  <si>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</si>
  <si>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</si>
  <si>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</si>
  <si>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</si>
  <si>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</si>
  <si>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</si>
  <si>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</si>
  <si>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</si>
  <si>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</si>
  <si>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</si>
  <si>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</si>
  <si>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</si>
  <si>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</si>
  <si>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</si>
  <si>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</si>
  <si>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</si>
  <si>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</si>
  <si>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</si>
  <si>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</si>
  <si>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</si>
  <si>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</si>
  <si>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</si>
  <si>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</si>
  <si>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</si>
  <si>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</si>
  <si>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</si>
  <si>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</si>
  <si>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</si>
  <si>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</si>
  <si>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</si>
  <si>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</si>
  <si>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</si>
  <si>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</si>
  <si>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</si>
  <si>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</si>
  <si>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</si>
  <si>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</si>
  <si>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</si>
  <si>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</si>
  <si>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</si>
  <si>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</si>
  <si>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</si>
  <si>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</si>
  <si>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</si>
  <si>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</si>
  <si>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</si>
  <si>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</si>
  <si>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</si>
  <si>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</si>
  <si>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</si>
  <si>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</si>
  <si>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</si>
  <si>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</si>
  <si>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</si>
  <si>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</si>
  <si>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</si>
  <si>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</si>
  <si>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</si>
  <si>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</si>
  <si>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</si>
  <si>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</si>
  <si>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</si>
  <si>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</si>
  <si>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</si>
  <si>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</si>
  <si>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</si>
  <si>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</si>
  <si>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</si>
  <si>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</si>
  <si>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</si>
  <si>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</si>
  <si>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</si>
  <si>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</si>
  <si>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</si>
  <si>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</si>
  <si>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</si>
  <si>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</si>
  <si>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</si>
  <si>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</si>
  <si>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</si>
  <si>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</si>
  <si>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</si>
  <si>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</si>
  <si>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</si>
  <si>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</si>
  <si>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</si>
  <si>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</si>
  <si>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</si>
  <si>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</si>
  <si>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</si>
  <si>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</si>
  <si>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</si>
  <si>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</si>
  <si>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</si>
  <si>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</si>
  <si>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</si>
  <si>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</si>
  <si>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</si>
  <si>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</si>
  <si>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</si>
  <si>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</si>
  <si>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</si>
  <si>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</si>
  <si>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</si>
  <si>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</si>
  <si>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</si>
  <si>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</si>
  <si>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</si>
  <si>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</si>
  <si>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</si>
  <si>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</si>
  <si>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</si>
  <si>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</si>
  <si>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</si>
  <si>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</si>
  <si>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</si>
  <si>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</si>
  <si>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</si>
  <si>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</si>
  <si>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</si>
  <si>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</si>
  <si>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</si>
  <si>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</si>
  <si>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</si>
  <si>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</si>
  <si>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</si>
  <si>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</si>
  <si>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</si>
  <si>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</si>
  <si>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</si>
  <si>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</si>
  <si>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</si>
  <si>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</si>
  <si>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</si>
  <si>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</si>
  <si>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</si>
  <si>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</si>
  <si>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</si>
  <si>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</si>
  <si>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</si>
  <si>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</si>
  <si>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</si>
  <si>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</si>
  <si>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</si>
  <si>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</si>
  <si>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</si>
  <si>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</si>
  <si>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</si>
  <si>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</si>
  <si>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</si>
  <si>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</si>
  <si>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</si>
  <si>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</si>
  <si>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</si>
  <si>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</si>
  <si>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</si>
  <si>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</si>
  <si>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</si>
  <si>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</si>
  <si>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</si>
  <si>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</si>
  <si>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</si>
  <si>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</si>
  <si>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</si>
  <si>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</si>
  <si>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</si>
  <si>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</si>
  <si>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</si>
  <si>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</si>
  <si>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</si>
  <si>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</si>
  <si>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</si>
  <si>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</si>
  <si>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</si>
  <si>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</si>
  <si>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</si>
  <si>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</si>
  <si>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</si>
  <si>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</si>
  <si>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</si>
  <si>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</si>
  <si>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</si>
  <si>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</si>
  <si>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</si>
  <si>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</si>
  <si>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</si>
  <si>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</si>
  <si>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</si>
  <si>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</si>
  <si>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</si>
  <si>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</si>
  <si>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</si>
  <si>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</si>
  <si>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</si>
  <si>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</si>
  <si>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</si>
  <si>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</si>
  <si>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</si>
  <si>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</si>
  <si>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</si>
  <si>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</si>
  <si>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</si>
  <si>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</si>
  <si>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</si>
  <si>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</si>
  <si>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</si>
  <si>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</si>
  <si>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</si>
  <si>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</si>
  <si>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</si>
  <si>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</si>
  <si>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</si>
  <si>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</si>
  <si>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</si>
  <si>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</si>
  <si>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</si>
  <si>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</si>
  <si>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</si>
  <si>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</si>
  <si>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</si>
  <si>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</si>
  <si>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</si>
  <si>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</si>
  <si>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</si>
  <si>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</si>
  <si>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</si>
  <si>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</si>
  <si>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</si>
  <si>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</si>
  <si>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</si>
  <si>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</si>
  <si>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</si>
  <si>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</si>
  <si>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</si>
  <si>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</si>
  <si>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</si>
  <si>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</si>
  <si>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</si>
  <si>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</si>
  <si>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</si>
  <si>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</si>
  <si>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</si>
  <si>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</si>
  <si>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</si>
  <si>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</si>
  <si>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</si>
  <si>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</si>
  <si>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</si>
  <si>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</si>
  <si>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</si>
  <si>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</si>
  <si>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</si>
  <si>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</si>
  <si>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</si>
  <si>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</si>
  <si>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</si>
  <si>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</si>
  <si>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</si>
  <si>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</si>
  <si>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</si>
  <si>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</si>
  <si>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</si>
  <si>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</si>
  <si>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</si>
  <si>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</si>
  <si>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</si>
  <si>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</si>
  <si>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</si>
  <si>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</si>
  <si>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</si>
  <si>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</si>
  <si>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</si>
  <si>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</si>
  <si>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</si>
  <si>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</si>
  <si>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</si>
  <si>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</si>
  <si>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</si>
  <si>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</si>
  <si>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</si>
  <si>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</si>
  <si>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</si>
  <si>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</si>
  <si>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</si>
  <si>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</si>
  <si>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</si>
  <si>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</si>
  <si>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</si>
  <si>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</si>
  <si>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</si>
  <si>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</si>
  <si>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</si>
  <si>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</si>
  <si>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</si>
  <si>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</si>
  <si>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</si>
  <si>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</si>
  <si>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</si>
  <si>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</si>
  <si>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</si>
  <si>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</si>
  <si>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</si>
  <si>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</si>
  <si>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</si>
  <si>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</si>
  <si>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</si>
  <si>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</si>
  <si>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</si>
  <si>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</si>
  <si>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</si>
  <si>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</si>
  <si>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</si>
  <si>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</si>
  <si>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</si>
  <si>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</si>
  <si>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</si>
  <si>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</si>
  <si>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</si>
  <si>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</si>
  <si>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</si>
  <si>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</si>
  <si>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</si>
  <si>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</si>
  <si>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</si>
  <si>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</si>
  <si>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</si>
  <si>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</si>
  <si>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</si>
  <si>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</si>
  <si>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</si>
  <si>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</si>
  <si>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</si>
  <si>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</si>
  <si>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</si>
  <si>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</si>
  <si>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</si>
  <si>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</si>
  <si>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</si>
  <si>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</si>
  <si>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</si>
  <si>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</si>
  <si>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</si>
  <si>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</si>
  <si>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</si>
  <si>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</si>
  <si>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</si>
  <si>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</si>
  <si>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</si>
  <si>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</si>
  <si>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</si>
  <si>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</si>
  <si>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</si>
  <si>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</si>
  <si>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</si>
  <si>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</si>
  <si>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</si>
  <si>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Montana Health Cooperative</t>
  </si>
  <si>
    <t>2015</t>
  </si>
  <si>
    <t>1005 Partridge Place, Suite 5 &amp; 6 Helena, MT 59601</t>
  </si>
  <si>
    <t>451295465</t>
  </si>
  <si>
    <t>14933</t>
  </si>
  <si>
    <t>32225</t>
  </si>
  <si>
    <t>655</t>
  </si>
  <si>
    <t>Large Group Claims</t>
  </si>
  <si>
    <t>Small Group Claims</t>
  </si>
  <si>
    <t>Individual paid claims are recorded for the individual markets seperately form group claims.  IBNR is claculated, by our actuary, for each market individually</t>
  </si>
  <si>
    <t>Large group paid claims are recorded for the large group market seperately from inidividual and small group claims.  IBNR is claculated, by our actuary, for each market individually</t>
  </si>
  <si>
    <t>Small group paid claims are recorded for the small group market seperately from individual and large group claims.  An allocation of claims from the small group to large group market was recorded to account for the few small groups that quality as large group for MLR reporting.  This allocation was based on a % of market share the larger small groups were as a part of the total small group market.  IBNR is claculated, by our actuary, for each market individually</t>
  </si>
  <si>
    <t>Individual Claims</t>
  </si>
  <si>
    <t>Qualty Improvement Expenses</t>
  </si>
  <si>
    <t>MHC uses a TPA for services and was provdied an allocation of the TPA fee that is attributable to each Qualty Improvement Expense.  This allocation was spread across the individual, small group and large group markets based on a calcualted PMPM amount. Servcies conducted in house were allocated on a PMPM fee across all markets.</t>
  </si>
  <si>
    <t>Activities to prevent hospital readmission</t>
  </si>
  <si>
    <t>Improve patient safety and reduce medical errors</t>
  </si>
  <si>
    <t>Wellness and health promotion activities</t>
  </si>
  <si>
    <t>HIT expenses related to improving health care quality</t>
  </si>
  <si>
    <t>Federal Taxes and assessments</t>
  </si>
  <si>
    <t>The expenses for these assessments are recorded based on actual cost per market</t>
  </si>
  <si>
    <t>Regulatory authority licenses and fees</t>
  </si>
  <si>
    <t>State Premium Tax</t>
  </si>
  <si>
    <t>Agent &amp; Broker fees &amp; commissions</t>
  </si>
  <si>
    <t>Commissions are allocated on a PMPM basis across all markets</t>
  </si>
  <si>
    <t>Direct Sales salaries and benefits</t>
  </si>
  <si>
    <t>Costs are allocated on a PMPM basis across all markets</t>
  </si>
  <si>
    <t>Other general and administative expenses</t>
  </si>
  <si>
    <t>Other expenses are allocated on a PMPM basis across all markets</t>
  </si>
  <si>
    <t>Cost Containment Expenses</t>
  </si>
  <si>
    <t>All other claims adjustment expenses</t>
  </si>
  <si>
    <t>MHC calculated a % of individual IBNR as a cost containment expense for 2015</t>
  </si>
  <si>
    <t>These costs were allocated on a PMPM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</si>
</sst>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167</v>
      </c>
    </row>
    <row r="13" spans="1:6" x14ac:dyDescent="0.2">
      <c r="B13" s="147" t="s">
        <v>50</v>
      </c>
      <c r="C13" s="480" t="s">
        <v>167</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60" zoomScaleNormal="6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Claims'!D7-'Pt 2 Premium and Claims'!D13+'Pt 2 Premium and Claims'!D14+'Pt 2 Premium and Claims'!D15+'Pt 2 Premium and Claims'!D16+'Pt 2 Premium and Claims'!D17</f>
        <v>94497317</v>
      </c>
      <c r="E5" s="212">
        <f>+'Pt 2 Premium and Claims'!E5+'Pt 2 Premium and Claims'!E6-'Pt 2 Premium and Claims'!E7-'Pt 2 Premium and Claims'!E13+'Pt 2 Premium and Claims'!E14+'Pt 2 Premium and Claims'!E15+'Pt 2 Premium and Claims'!E16+'Pt 2 Premium and Claims'!E17</f>
        <v>95684376</v>
      </c>
      <c r="F5" s="213"/>
      <c r="G5" s="213"/>
      <c r="H5" s="213"/>
      <c r="I5" s="212">
        <f>+E5</f>
        <v>95684376</v>
      </c>
      <c r="J5" s="212">
        <f>+'Pt 2 Premium and Claims'!J5+'Pt 2 Premium and Claims'!J6-'Pt 2 Premium and Claims'!J7-'Pt 2 Premium and Claims'!J13+'Pt 2 Premium and Claims'!J14+'Pt 2 Premium and Claims'!J15+'Pt 2 Premium and Claims'!J16+'Pt 2 Premium and Claims'!J17</f>
        <v>8594491</v>
      </c>
      <c r="K5" s="212">
        <f>+'Pt 2 Premium and Claims'!K5+'Pt 2 Premium and Claims'!K6-'Pt 2 Premium and Claims'!K7-'Pt 2 Premium and Claims'!K13+'Pt 2 Premium and Claims'!K14+'Pt 2 Premium and Claims'!K15+'Pt 2 Premium and Claims'!K16+'Pt 2 Premium and Claims'!K17</f>
        <v>8459373</v>
      </c>
      <c r="L5" s="213"/>
      <c r="M5" s="213"/>
      <c r="N5" s="213"/>
      <c r="O5" s="212">
        <f>+K5</f>
        <v>8459373</v>
      </c>
      <c r="P5" s="212">
        <f>+'Pt 2 Premium and Claims'!P5+'Pt 2 Premium and Claims'!P6-'Pt 2 Premium and Claims'!P7-'Pt 2 Premium and Claims'!P13+'Pt 2 Premium and Claims'!P14+'Pt 2 Premium and Claims'!P15+'Pt 2 Premium and Claims'!P16+'Pt 2 Premium and Claims'!P17</f>
        <v>3338496</v>
      </c>
      <c r="Q5" s="212">
        <f>+'Pt 2 Premium and Claims'!Q5+'Pt 2 Premium and Claims'!Q6-'Pt 2 Premium and Claims'!Q7-'Pt 2 Premium and Claims'!Q13+'Pt 2 Premium and Claims'!Q14+'Pt 2 Premium and Claims'!Q15+'Pt 2 Premium and Claims'!Q16+'Pt 2 Premium and Claims'!Q17</f>
        <v>3169072</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122074721</v>
      </c>
      <c r="E12" s="213">
        <f>+'Pt 2 Premium and Claims'!E54</f>
        <v>112773266</v>
      </c>
      <c r="F12" s="213"/>
      <c r="G12" s="213"/>
      <c r="H12" s="213"/>
      <c r="I12" s="212">
        <f>+'Pt 2 Premium and Claims'!I54</f>
        <v>112773266</v>
      </c>
      <c r="J12" s="212">
        <f>+'Pt 2 Premium and Claims'!J54</f>
        <v>8460314</v>
      </c>
      <c r="K12" s="213">
        <f>+'Pt 2 Premium and Claims'!K54</f>
        <v>8209087</v>
      </c>
      <c r="L12" s="213"/>
      <c r="M12" s="213"/>
      <c r="N12" s="213"/>
      <c r="O12" s="212">
        <f>+K12</f>
        <v>8209087</v>
      </c>
      <c r="P12" s="212">
        <f>+'Pt 2 Premium and Claims'!P54</f>
        <v>2775527</v>
      </c>
      <c r="Q12" s="213">
        <f>+'Pt 2 Premium and Claims'!Q54</f>
        <v>2821605</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16381621</v>
      </c>
      <c r="E13" s="217">
        <f>+D13</f>
        <v>16381621</v>
      </c>
      <c r="F13" s="217"/>
      <c r="G13" s="268"/>
      <c r="H13" s="269"/>
      <c r="I13" s="216">
        <f>+E13</f>
        <v>16381621</v>
      </c>
      <c r="J13" s="216">
        <v>892267</v>
      </c>
      <c r="K13" s="217">
        <f>+J13</f>
        <v>892267</v>
      </c>
      <c r="L13" s="217"/>
      <c r="M13" s="268"/>
      <c r="N13" s="269"/>
      <c r="O13" s="216">
        <f>+K13</f>
        <v>892267</v>
      </c>
      <c r="P13" s="216">
        <v>547088</v>
      </c>
      <c r="Q13" s="217">
        <f>+P13</f>
        <v>547088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23074</v>
      </c>
      <c r="E26" s="217">
        <v>23074</v>
      </c>
      <c r="F26" s="217"/>
      <c r="G26" s="217"/>
      <c r="H26" s="217"/>
      <c r="I26" s="216">
        <f>+E26</f>
        <v>23074</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78492</v>
      </c>
      <c r="E28" s="217">
        <f>+D28</f>
        <v>78492</v>
      </c>
      <c r="F28" s="217"/>
      <c r="G28" s="217"/>
      <c r="H28" s="217"/>
      <c r="I28" s="216">
        <f>+E28</f>
        <v>78492</v>
      </c>
      <c r="J28" s="216">
        <v>6049</v>
      </c>
      <c r="K28" s="217">
        <f>+J28</f>
        <v>6049</v>
      </c>
      <c r="L28" s="217"/>
      <c r="M28" s="217"/>
      <c r="N28" s="217"/>
      <c r="O28" s="216">
        <f>+K28</f>
        <v>6049</v>
      </c>
      <c r="P28" s="216">
        <v>2588</v>
      </c>
      <c r="Q28" s="217">
        <f>+P28</f>
        <v>2588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154784</v>
      </c>
      <c r="E34" s="217">
        <v>154784</v>
      </c>
      <c r="F34" s="217"/>
      <c r="G34" s="217"/>
      <c r="H34" s="217"/>
      <c r="I34" s="216">
        <f>+E34</f>
        <v>154784</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1559911</v>
      </c>
      <c r="E35" s="217">
        <f>+D35</f>
        <v>1559911</v>
      </c>
      <c r="F35" s="217"/>
      <c r="G35" s="217"/>
      <c r="H35" s="217"/>
      <c r="I35" s="216">
        <f>+E35</f>
        <v>1559911</v>
      </c>
      <c r="J35" s="216">
        <v>3156</v>
      </c>
      <c r="K35" s="217">
        <v>3156</v>
      </c>
      <c r="L35" s="217"/>
      <c r="M35" s="217"/>
      <c r="N35" s="217"/>
      <c r="O35" s="216">
        <v>3156</v>
      </c>
      <c r="P35" s="216">
        <v>818</v>
      </c>
      <c r="Q35" s="217">
        <v>818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ht="13.5" thickTop="1" x14ac:dyDescent="0.2">
      <c r="B37" s="244" t="s">
        <v>253</v>
      </c>
      <c r="C37" s="202" t="s">
        <v>15</v>
      </c>
      <c r="D37" s="224">
        <v>73265</v>
      </c>
      <c r="E37" s="398">
        <f t="shared" ref="E37:E40" si="0">+D37</f>
        <v>73265</v>
      </c>
      <c r="F37" s="225"/>
      <c r="G37" s="225"/>
      <c r="H37" s="225"/>
      <c r="I37" s="224">
        <f>+E37</f>
        <v>73265</v>
      </c>
      <c r="J37" s="224">
        <v>5521</v>
      </c>
      <c r="K37" s="225">
        <f>+J37</f>
        <v>5521</v>
      </c>
      <c r="L37" s="225"/>
      <c r="M37" s="225"/>
      <c r="N37" s="225"/>
      <c r="O37" s="224">
        <f>+K37</f>
        <v>5521</v>
      </c>
      <c r="P37" s="224">
        <v>2539</v>
      </c>
      <c r="Q37" s="225">
        <f>+P37</f>
        <v>2539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72527</v>
      </c>
      <c r="E38" s="398">
        <f t="shared" si="0"/>
        <v>72527</v>
      </c>
      <c r="F38" s="217"/>
      <c r="G38" s="217"/>
      <c r="H38" s="217"/>
      <c r="I38" s="216">
        <f>+E38</f>
        <v>72527</v>
      </c>
      <c r="J38" s="216">
        <v>5418</v>
      </c>
      <c r="K38" s="217">
        <f>+J38</f>
        <v>5418</v>
      </c>
      <c r="L38" s="217"/>
      <c r="M38" s="217"/>
      <c r="N38" s="217"/>
      <c r="O38" s="216">
        <f>+K38</f>
        <v>5418</v>
      </c>
      <c r="P38" s="216">
        <v>2282</v>
      </c>
      <c r="Q38" s="217">
        <f>+P38</f>
        <v>2282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72527</v>
      </c>
      <c r="E39" s="398">
        <f t="shared" si="0"/>
        <v>72527</v>
      </c>
      <c r="F39" s="217"/>
      <c r="G39" s="217"/>
      <c r="H39" s="217"/>
      <c r="I39" s="216">
        <f>+E39</f>
        <v>72527</v>
      </c>
      <c r="J39" s="216">
        <v>5418</v>
      </c>
      <c r="K39" s="398">
        <f t="shared" ref="K39:K41" si="1">+J39</f>
        <v>5418</v>
      </c>
      <c r="L39" s="217"/>
      <c r="M39" s="217"/>
      <c r="N39" s="217"/>
      <c r="O39" s="397">
        <f t="shared" ref="O39:O41" si="2">+K39</f>
        <v>5418</v>
      </c>
      <c r="P39" s="216">
        <v>2282</v>
      </c>
      <c r="Q39" s="217">
        <f>+P39</f>
        <v>2282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72527</v>
      </c>
      <c r="E40" s="398">
        <f t="shared" si="0"/>
        <v>72527</v>
      </c>
      <c r="F40" s="217"/>
      <c r="G40" s="217"/>
      <c r="H40" s="217"/>
      <c r="I40" s="216">
        <f>+E40</f>
        <v>72527</v>
      </c>
      <c r="J40" s="216">
        <v>5418</v>
      </c>
      <c r="K40" s="398">
        <f t="shared" si="1"/>
        <v>5418</v>
      </c>
      <c r="L40" s="217"/>
      <c r="M40" s="217"/>
      <c r="N40" s="217"/>
      <c r="O40" s="397">
        <f t="shared" si="2"/>
        <v>5418</v>
      </c>
      <c r="P40" s="216">
        <v>2282</v>
      </c>
      <c r="Q40" s="217">
        <f>+P40</f>
        <v>2282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152382</v>
      </c>
      <c r="E41" s="217">
        <f>+D41</f>
        <v>152382</v>
      </c>
      <c r="F41" s="217"/>
      <c r="G41" s="217"/>
      <c r="H41" s="217"/>
      <c r="I41" s="216">
        <f>+E41</f>
        <v>152382</v>
      </c>
      <c r="J41" s="216">
        <v>11382</v>
      </c>
      <c r="K41" s="398">
        <f t="shared" si="1"/>
        <v>11382</v>
      </c>
      <c r="L41" s="217"/>
      <c r="M41" s="217"/>
      <c r="N41" s="217"/>
      <c r="O41" s="397">
        <f t="shared" si="2"/>
        <v>11382</v>
      </c>
      <c r="P41" s="216">
        <v>4794</v>
      </c>
      <c r="Q41" s="217">
        <f>+P41</f>
        <v>4794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f>61034+480104</f>
        <v>541138</v>
      </c>
      <c r="E44" s="225">
        <f>+D44</f>
        <v>541138</v>
      </c>
      <c r="F44" s="225"/>
      <c r="G44" s="225"/>
      <c r="H44" s="225"/>
      <c r="I44" s="224">
        <f>+E44</f>
        <v>541138</v>
      </c>
      <c r="J44" s="224">
        <f>4703+35862</f>
        <v>40565</v>
      </c>
      <c r="K44" s="225">
        <f>+J44</f>
        <v>40565</v>
      </c>
      <c r="L44" s="225"/>
      <c r="M44" s="225"/>
      <c r="N44" s="225"/>
      <c r="O44" s="224">
        <f>+K44</f>
        <v>40565</v>
      </c>
      <c r="P44" s="224">
        <f>2012+15104</f>
        <v>17116</v>
      </c>
      <c r="Q44" s="225">
        <f>+P44</f>
        <v>17116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2202072</v>
      </c>
      <c r="E45" s="217">
        <f>+D45</f>
        <v>2202072</v>
      </c>
      <c r="F45" s="217"/>
      <c r="G45" s="217"/>
      <c r="H45" s="217"/>
      <c r="I45" s="216">
        <f>+E45</f>
        <v>2202072</v>
      </c>
      <c r="J45" s="216">
        <f>147018+40000</f>
        <v>187018</v>
      </c>
      <c r="K45" s="217">
        <f>+J45</f>
        <v>187018</v>
      </c>
      <c r="L45" s="217"/>
      <c r="M45" s="217"/>
      <c r="N45" s="217"/>
      <c r="O45" s="216">
        <f>+K45</f>
        <v>187018</v>
      </c>
      <c r="P45" s="216">
        <f>71708+16846</f>
        <v>88554</v>
      </c>
      <c r="Q45" s="217">
        <f>+P45</f>
        <v>88554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332379</v>
      </c>
      <c r="E46" s="217">
        <f>+D46</f>
        <v>332379</v>
      </c>
      <c r="F46" s="217"/>
      <c r="G46" s="217"/>
      <c r="H46" s="217"/>
      <c r="I46" s="216">
        <f>+E46</f>
        <v>332379</v>
      </c>
      <c r="J46" s="216">
        <v>24838</v>
      </c>
      <c r="K46" s="217">
        <f>+J46</f>
        <v>24838</v>
      </c>
      <c r="L46" s="217"/>
      <c r="M46" s="217"/>
      <c r="N46" s="217"/>
      <c r="O46" s="216">
        <f>+K46</f>
        <v>24838</v>
      </c>
      <c r="P46" s="216">
        <v>10456</v>
      </c>
      <c r="Q46" s="217">
        <f>+P46</f>
        <v>10456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646971</v>
      </c>
      <c r="E47" s="217">
        <f>+D47</f>
        <v>646971</v>
      </c>
      <c r="F47" s="217"/>
      <c r="G47" s="217"/>
      <c r="H47" s="217"/>
      <c r="I47" s="216">
        <f>+E47</f>
        <v>646971</v>
      </c>
      <c r="J47" s="216">
        <v>48267</v>
      </c>
      <c r="K47" s="217">
        <f>+J47</f>
        <v>48267</v>
      </c>
      <c r="L47" s="217"/>
      <c r="M47" s="217"/>
      <c r="N47" s="217"/>
      <c r="O47" s="216">
        <f>+K47</f>
        <v>48267</v>
      </c>
      <c r="P47" s="216">
        <v>20353</v>
      </c>
      <c r="Q47" s="217">
        <f>+P47</f>
        <v>20353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f>3978733+498569</f>
        <v>4477302</v>
      </c>
      <c r="E51" s="217">
        <f>+D51</f>
        <v>4477302</v>
      </c>
      <c r="F51" s="217"/>
      <c r="G51" s="217"/>
      <c r="H51" s="217"/>
      <c r="I51" s="216">
        <f>+E51</f>
        <v>4477302</v>
      </c>
      <c r="J51" s="216">
        <f>326667+37242</f>
        <v>363909</v>
      </c>
      <c r="K51" s="217">
        <f>+J51</f>
        <v>363909</v>
      </c>
      <c r="L51" s="217"/>
      <c r="M51" s="217"/>
      <c r="N51" s="217"/>
      <c r="O51" s="216">
        <f>+K51</f>
        <v>363909</v>
      </c>
      <c r="P51" s="216">
        <f>118004+15685</f>
        <v>133689</v>
      </c>
      <c r="Q51" s="217">
        <f>+P51</f>
        <v>133689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7870</v>
      </c>
      <c r="E56" s="229">
        <f>+D56</f>
        <v>7870</v>
      </c>
      <c r="F56" s="229"/>
      <c r="G56" s="229"/>
      <c r="H56" s="229"/>
      <c r="I56" s="228">
        <f>+E56</f>
        <v>7870</v>
      </c>
      <c r="J56" s="228">
        <v>921</v>
      </c>
      <c r="K56" s="229">
        <f>+J56</f>
        <v>921</v>
      </c>
      <c r="L56" s="229"/>
      <c r="M56" s="229"/>
      <c r="N56" s="229"/>
      <c r="O56" s="228">
        <f>+K56</f>
        <v>921</v>
      </c>
      <c r="P56" s="228">
        <v>450</v>
      </c>
      <c r="Q56" s="229">
        <f>+P56</f>
        <v>450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17631</v>
      </c>
      <c r="E57" s="232">
        <f>+D57</f>
        <v>17631</v>
      </c>
      <c r="F57" s="232"/>
      <c r="G57" s="232"/>
      <c r="H57" s="232"/>
      <c r="I57" s="231">
        <f>+E57</f>
        <v>17631</v>
      </c>
      <c r="J57" s="231">
        <v>1521</v>
      </c>
      <c r="K57" s="232">
        <f>+J57</f>
        <v>1521</v>
      </c>
      <c r="L57" s="232"/>
      <c r="M57" s="232"/>
      <c r="N57" s="232"/>
      <c r="O57" s="231">
        <f>+K57</f>
        <v>1521</v>
      </c>
      <c r="P57" s="231">
        <v>639</v>
      </c>
      <c r="Q57" s="232">
        <f>+P57</f>
        <v>639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56</v>
      </c>
      <c r="K58" s="232">
        <f>+J58</f>
        <v>56</v>
      </c>
      <c r="L58" s="232"/>
      <c r="M58" s="232"/>
      <c r="N58" s="232"/>
      <c r="O58" s="231">
        <f>+K58</f>
        <v>56</v>
      </c>
      <c r="P58" s="231">
        <v>4</v>
      </c>
      <c r="Q58" s="232">
        <f>+P58</f>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223233</v>
      </c>
      <c r="E59" s="232">
        <f>+D59</f>
        <v>223233</v>
      </c>
      <c r="F59" s="232"/>
      <c r="G59" s="232"/>
      <c r="H59" s="232"/>
      <c r="I59" s="231">
        <f>+E59</f>
        <v>223233</v>
      </c>
      <c r="J59" s="231">
        <v>17202</v>
      </c>
      <c r="K59" s="232">
        <f>+J59</f>
        <v>17202</v>
      </c>
      <c r="L59" s="232"/>
      <c r="M59" s="232"/>
      <c r="N59" s="232"/>
      <c r="O59" s="231">
        <f>+K59</f>
        <v>17202</v>
      </c>
      <c r="P59" s="231">
        <v>7360</v>
      </c>
      <c r="Q59" s="232">
        <f>+P59</f>
        <v>7360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18602.75</v>
      </c>
      <c r="E60" s="235">
        <f>+D60</f>
        <v>18602.75</v>
      </c>
      <c r="F60" s="235"/>
      <c r="G60" s="235"/>
      <c r="H60" s="235"/>
      <c r="I60" s="234">
        <f>+E60</f>
        <v>18602.75</v>
      </c>
      <c r="J60" s="234">
        <f>+J59/12</f>
        <v>1433.5</v>
      </c>
      <c r="K60" s="235">
        <f>+J60</f>
        <v>1433.5</v>
      </c>
      <c r="L60" s="235"/>
      <c r="M60" s="235"/>
      <c r="N60" s="235"/>
      <c r="O60" s="234">
        <f>+K60</f>
        <v>1433.5</v>
      </c>
      <c r="P60" s="234">
        <f>+P59/12</f>
        <v>613.33333333333337</v>
      </c>
      <c r="Q60" s="235">
        <f>+P60</f>
        <v>613.33333333333337</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-98340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44:AD47 D49:AD52 D37:AD4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60" zoomScaleNormal="60" workbookViewId="0">
      <pane xSplit="2" ySplit="3" topLeftCell="C14" activePane="bottomRight" state="frozen"/>
      <selection activeCell="B1" sqref="B1"/>
      <selection pane="topRight" activeCell="B1" sqref="B1"/>
      <selection pane="bottomLeft" activeCell="B1" sqref="B1"/>
      <selection pane="bottomRight" activeCell="G43" sqref="G4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73351880</v>
      </c>
      <c r="E5" s="326">
        <v>76503090</v>
      </c>
      <c r="F5" s="326"/>
      <c r="G5" s="328"/>
      <c r="H5" s="328"/>
      <c r="I5" s="325">
        <f>+E5</f>
        <v>76503090</v>
      </c>
      <c r="J5" s="325">
        <v>6960491</v>
      </c>
      <c r="K5" s="326">
        <v>6636910</v>
      </c>
      <c r="L5" s="326"/>
      <c r="M5" s="326"/>
      <c r="N5" s="326"/>
      <c r="O5" s="325">
        <f>+K5</f>
        <v>6636910</v>
      </c>
      <c r="P5" s="325">
        <v>3338496</v>
      </c>
      <c r="Q5" s="326">
        <v>3169072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1639779</v>
      </c>
      <c r="E6" s="319">
        <v>1639779</v>
      </c>
      <c r="F6" s="319"/>
      <c r="G6" s="320"/>
      <c r="H6" s="320"/>
      <c r="I6" s="318">
        <v>1639779</v>
      </c>
      <c r="J6" s="318">
        <v>84292</v>
      </c>
      <c r="K6" s="319">
        <v>84292</v>
      </c>
      <c r="L6" s="319"/>
      <c r="M6" s="319"/>
      <c r="N6" s="319"/>
      <c r="O6" s="318">
        <f>+K6</f>
        <v>84292</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1639779</v>
      </c>
      <c r="E7" s="319">
        <v>1639779</v>
      </c>
      <c r="F7" s="319"/>
      <c r="G7" s="320"/>
      <c r="H7" s="320"/>
      <c r="I7" s="318">
        <v>1639779</v>
      </c>
      <c r="J7" s="318">
        <v>84292</v>
      </c>
      <c r="K7" s="319">
        <v>84292</v>
      </c>
      <c r="L7" s="319"/>
      <c r="M7" s="319"/>
      <c r="N7" s="319"/>
      <c r="O7" s="318">
        <f>+K7</f>
        <v>84292</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14615781</v>
      </c>
      <c r="E15" s="319">
        <v>14898840</v>
      </c>
      <c r="F15" s="319"/>
      <c r="G15" s="319"/>
      <c r="H15" s="319"/>
      <c r="I15" s="318">
        <v>14898840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6529656</v>
      </c>
      <c r="E16" s="319">
        <v>4282446</v>
      </c>
      <c r="F16" s="319"/>
      <c r="G16" s="319"/>
      <c r="H16" s="319"/>
      <c r="I16" s="318">
        <v>4282446</v>
      </c>
      <c r="J16" s="318">
        <v>1634000</v>
      </c>
      <c r="K16" s="319">
        <v>1822463</v>
      </c>
      <c r="L16" s="319"/>
      <c r="M16" s="319"/>
      <c r="N16" s="319"/>
      <c r="O16" s="318">
        <v>1822463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106403173</v>
      </c>
      <c r="E23" s="362"/>
      <c r="F23" s="362"/>
      <c r="G23" s="362"/>
      <c r="H23" s="362"/>
      <c r="I23" s="364"/>
      <c r="J23" s="318">
        <v>7089889</v>
      </c>
      <c r="K23" s="362"/>
      <c r="L23" s="362"/>
      <c r="M23" s="362"/>
      <c r="N23" s="362"/>
      <c r="O23" s="364"/>
      <c r="P23" s="318">
        <v>2481363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109614740</v>
      </c>
      <c r="F24" s="319"/>
      <c r="G24" s="319"/>
      <c r="H24" s="319"/>
      <c r="I24" s="318">
        <f>+E24</f>
        <v>109614740</v>
      </c>
      <c r="J24" s="365"/>
      <c r="K24" s="319">
        <v>7682452</v>
      </c>
      <c r="L24" s="319"/>
      <c r="M24" s="319"/>
      <c r="N24" s="319"/>
      <c r="O24" s="318">
        <f>+K24</f>
        <v>7682452</v>
      </c>
      <c r="P24" s="365"/>
      <c r="Q24" s="319">
        <v>2586204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15671548</v>
      </c>
      <c r="E26" s="362"/>
      <c r="F26" s="362"/>
      <c r="G26" s="362"/>
      <c r="H26" s="362"/>
      <c r="I26" s="364"/>
      <c r="J26" s="318">
        <v>1370425</v>
      </c>
      <c r="K26" s="362"/>
      <c r="L26" s="362"/>
      <c r="M26" s="362"/>
      <c r="N26" s="362"/>
      <c r="O26" s="364"/>
      <c r="P26" s="318">
        <v>294164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3158526</v>
      </c>
      <c r="F27" s="319"/>
      <c r="G27" s="319"/>
      <c r="H27" s="319"/>
      <c r="I27" s="318">
        <f>+E27</f>
        <v>3158526</v>
      </c>
      <c r="J27" s="365"/>
      <c r="K27" s="319">
        <v>526635</v>
      </c>
      <c r="L27" s="319"/>
      <c r="M27" s="319"/>
      <c r="N27" s="319"/>
      <c r="O27" s="318">
        <f>+K27</f>
        <v>526635</v>
      </c>
      <c r="P27" s="365"/>
      <c r="Q27" s="319">
        <v>235401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+D26+D23</f>
        <v>122074721</v>
      </c>
      <c r="E54" s="323">
        <f>+E27+E24</f>
        <v>112773266</v>
      </c>
      <c r="F54" s="323"/>
      <c r="G54" s="323"/>
      <c r="H54" s="323"/>
      <c r="I54" s="322">
        <f>+I27+I24</f>
        <v>112773266</v>
      </c>
      <c r="J54" s="322">
        <f>+J26+J23</f>
        <v>8460314</v>
      </c>
      <c r="K54" s="323">
        <f>+K27+K24</f>
        <v>8209087</v>
      </c>
      <c r="L54" s="323"/>
      <c r="M54" s="323"/>
      <c r="N54" s="323"/>
      <c r="O54" s="322">
        <f>+O27+O24</f>
        <v>8209087</v>
      </c>
      <c r="P54" s="322">
        <f>+P26+P23</f>
        <v>2775527</v>
      </c>
      <c r="Q54" s="323">
        <f>+Q24+Q27</f>
        <v>2821605</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8715681</v>
      </c>
      <c r="E58" s="354">
        <v>8715681</v>
      </c>
      <c r="F58" s="354"/>
      <c r="G58" s="354"/>
      <c r="H58" s="354"/>
      <c r="I58" s="353">
        <v>9029349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70" zoomScaleNormal="70" workbookViewId="0">
      <pane xSplit="2" ySplit="3" topLeftCell="C4" activePane="bottomRight" state="frozen"/>
      <selection activeCell="B1" sqref="B1"/>
      <selection pane="topRight" activeCell="B1" sqref="B1"/>
      <selection pane="bottomLeft" activeCell="B1" sqref="B1"/>
      <selection pane="bottomRight" activeCell="F56" sqref="F5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53910617</v>
      </c>
      <c r="E5" s="454"/>
      <c r="F5" s="454"/>
      <c r="G5" s="448"/>
      <c r="H5" s="402"/>
      <c r="I5" s="403">
        <v>4192429</v>
      </c>
      <c r="J5" s="454"/>
      <c r="K5" s="454"/>
      <c r="L5" s="448"/>
      <c r="M5" s="402"/>
      <c r="N5" s="403">
        <v>474821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53910617</v>
      </c>
      <c r="E6" s="400">
        <f>+'Pt 2 Premium and Claims'!E54</f>
        <v>112773266</v>
      </c>
      <c r="F6" s="400">
        <f>+D6+E6</f>
        <v>166683883</v>
      </c>
      <c r="G6" s="401">
        <f>+'Pt 2 Premium and Claims'!I54</f>
        <v>112773266</v>
      </c>
      <c r="H6" s="397"/>
      <c r="I6" s="398">
        <v>4192429</v>
      </c>
      <c r="J6" s="400">
        <f>+'Pt 2 Premium and Claims'!K54</f>
        <v>8209087</v>
      </c>
      <c r="K6" s="400">
        <f>+J6+I6</f>
        <v>12401516</v>
      </c>
      <c r="L6" s="401">
        <f>+J6</f>
        <v>8209087</v>
      </c>
      <c r="M6" s="397"/>
      <c r="N6" s="398">
        <v>474821</v>
      </c>
      <c r="O6" s="400">
        <f>+'Pt 2 Premium and Claims'!Q54</f>
        <v>2821605</v>
      </c>
      <c r="P6" s="400">
        <f>+O6+N6</f>
        <v>3296426</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275999</v>
      </c>
      <c r="E7" s="400">
        <f>+'Pt 1 Summary of Data'!D37+'Pt 1 Summary of Data'!D38+'Pt 1 Summary of Data'!D39+'Pt 1 Summary of Data'!D40+'Pt 1 Summary of Data'!D41</f>
        <v>443228</v>
      </c>
      <c r="F7" s="400">
        <f>+E7+D7</f>
        <v>719227</v>
      </c>
      <c r="G7" s="401">
        <f>+E7</f>
        <v>443228</v>
      </c>
      <c r="H7" s="397"/>
      <c r="I7" s="398">
        <v>21316</v>
      </c>
      <c r="J7" s="400">
        <f>+'Pt 1 Summary of Data'!K37+'Pt 1 Summary of Data'!K38+'Pt 1 Summary of Data'!K39+'Pt 1 Summary of Data'!K40+'Pt 1 Summary of Data'!K41</f>
        <v>33157</v>
      </c>
      <c r="K7" s="400">
        <f>+J7+I7</f>
        <v>54473</v>
      </c>
      <c r="L7" s="401">
        <f>+J7</f>
        <v>33157</v>
      </c>
      <c r="M7" s="397"/>
      <c r="N7" s="398">
        <v>1488</v>
      </c>
      <c r="O7" s="400">
        <f>+'Pt 1 Summary of Data'!Q37+'Pt 1 Summary of Data'!Q38+'Pt 1 Summary of Data'!Q39+'Pt 1 Summary of Data'!Q40+'Pt 1 Summary of Data'!Q41</f>
        <v>14179</v>
      </c>
      <c r="P7" s="400">
        <f>+O7+N7</f>
        <v>15667</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2753163</v>
      </c>
      <c r="E8" s="400">
        <v>8715681</v>
      </c>
      <c r="F8" s="400">
        <f>+E8+D8</f>
        <v>11468844</v>
      </c>
      <c r="G8" s="401">
        <f>+E8+D8-2439495</f>
        <v>9029349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10821510</v>
      </c>
      <c r="E9" s="400">
        <f>+'Pt 2 Premium and Claims'!E15</f>
        <v>14898840</v>
      </c>
      <c r="F9" s="400">
        <f>+E9+D9</f>
        <v>25720350</v>
      </c>
      <c r="G9" s="401">
        <f>+E9</f>
        <v>14898840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3157444</v>
      </c>
      <c r="E10" s="400">
        <f>+'Pt 2 Premium and Claims'!E16</f>
        <v>4282446</v>
      </c>
      <c r="F10" s="400">
        <f>+E10+D10</f>
        <v>7439890</v>
      </c>
      <c r="G10" s="401">
        <f>+E10</f>
        <v>4282446</v>
      </c>
      <c r="H10" s="443"/>
      <c r="I10" s="398">
        <v>297652</v>
      </c>
      <c r="J10" s="400">
        <v>1822463</v>
      </c>
      <c r="K10" s="400">
        <f>+J10+I10</f>
        <v>2120115</v>
      </c>
      <c r="L10" s="401">
        <f>+J10</f>
        <v>1822463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852227</v>
      </c>
      <c r="E11" s="400">
        <v>0</v>
      </c>
      <c r="F11" s="400">
        <f>+E11+D11</f>
        <v>852227</v>
      </c>
      <c r="G11" s="450"/>
      <c r="H11" s="443"/>
      <c r="I11" s="398">
        <v>62384</v>
      </c>
      <c r="J11" s="400">
        <v>0</v>
      </c>
      <c r="K11" s="400">
        <f>+J11+I11</f>
        <v>62384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f>+D6+D7-D8-D9-D10-D11</f>
        <v>36602272</v>
      </c>
      <c r="E12" s="400">
        <f t="shared" ref="E12:F12" si="0">+E6+E7-E8-E9-E10-E11</f>
        <v>85319527</v>
      </c>
      <c r="F12" s="400">
        <f t="shared" si="0"/>
        <v>121921799</v>
      </c>
      <c r="G12" s="447"/>
      <c r="H12" s="399"/>
      <c r="I12" s="400">
        <f>+I6+I7-I8-I9-I10-I11</f>
        <v>3853709</v>
      </c>
      <c r="J12" s="400">
        <f t="shared" ref="J12:K12" si="1">+J6+J7-J8-J9-J10-J11</f>
        <v>6419781</v>
      </c>
      <c r="K12" s="400">
        <f t="shared" si="1"/>
        <v>10273490</v>
      </c>
      <c r="L12" s="447"/>
      <c r="M12" s="399"/>
      <c r="N12" s="400">
        <f>+N6+N7-N8-N9-N10-N11</f>
        <v>476309</v>
      </c>
      <c r="O12" s="400">
        <f t="shared" ref="O12:P12" si="2">+O6+O7-O8-O9-O10-O11</f>
        <v>2835784</v>
      </c>
      <c r="P12" s="400">
        <f t="shared" si="2"/>
        <v>3312093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f>52760827-20733082</f>
        <v>32027745</v>
      </c>
      <c r="E15" s="395">
        <f>+'Pt 1 Summary of Data'!E5-'Pt 3 MLR and Rebate Calculation'!E9-'Pt 3 MLR and Rebate Calculation'!E10-'Pt 3 MLR and Rebate Calculation'!E11</f>
        <v>76503090</v>
      </c>
      <c r="F15" s="395">
        <f>+E15+D15</f>
        <v>108530835</v>
      </c>
      <c r="G15" s="395">
        <f>+'Pt 1 Summary of Data'!E5-'Pt 3 MLR and Rebate Calculation'!G9-'Pt 3 MLR and Rebate Calculation'!G10-'Pt 3 MLR and Rebate Calculation'!G11</f>
        <v>76503090</v>
      </c>
      <c r="H15" s="402"/>
      <c r="I15" s="403">
        <v>3915288</v>
      </c>
      <c r="J15" s="395">
        <f>+'Pt 1 Summary of Data'!O5-J10</f>
        <v>6636910</v>
      </c>
      <c r="K15" s="395">
        <f>+J15+I15</f>
        <v>10552198</v>
      </c>
      <c r="L15" s="396">
        <f>+J15</f>
        <v>6636910</v>
      </c>
      <c r="M15" s="402"/>
      <c r="N15" s="403">
        <v>593003</v>
      </c>
      <c r="O15" s="395">
        <f>+'Pt 1 Summary of Data'!Q5</f>
        <v>3169072</v>
      </c>
      <c r="P15" s="395">
        <f>+O15+N15</f>
        <v>3762075</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1999283</v>
      </c>
      <c r="E16" s="400">
        <f>+'Pt 1 Summary of Data'!E26+'Pt 1 Summary of Data'!E28+'Pt 1 Summary of Data'!E34+'Pt 1 Summary of Data'!E35</f>
        <v>1816261</v>
      </c>
      <c r="F16" s="400">
        <f>+E16+D16</f>
        <v>3815544</v>
      </c>
      <c r="G16" s="401">
        <f>+'Pt 1 Summary of Data'!I26+'Pt 1 Summary of Data'!I28+'Pt 1 Summary of Data'!I34+'Pt 1 Summary of Data'!I35</f>
        <v>1816261</v>
      </c>
      <c r="H16" s="397"/>
      <c r="I16" s="398">
        <v>0</v>
      </c>
      <c r="J16" s="400">
        <f>+'Pt 1 Summary of Data'!J35+'Pt 1 Summary of Data'!J28</f>
        <v>9205</v>
      </c>
      <c r="K16" s="400">
        <f>+J16+I16</f>
        <v>9205</v>
      </c>
      <c r="L16" s="401">
        <f>+J16</f>
        <v>9205</v>
      </c>
      <c r="M16" s="397"/>
      <c r="N16" s="398">
        <v>0</v>
      </c>
      <c r="O16" s="400">
        <f>+'Pt 1 Summary of Data'!P35+'Pt 1 Summary of Data'!P28</f>
        <v>3406</v>
      </c>
      <c r="P16" s="400">
        <f>+O16+N16</f>
        <v>3406</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f>+D15-D16</f>
        <v>30028462</v>
      </c>
      <c r="E17" s="400">
        <f>+E15-E16</f>
        <v>74686829</v>
      </c>
      <c r="F17" s="400">
        <f>F15-F16</f>
        <v>104715291</v>
      </c>
      <c r="G17" s="450"/>
      <c r="H17" s="399"/>
      <c r="I17" s="400">
        <f>+I15-I16</f>
        <v>3915288</v>
      </c>
      <c r="J17" s="400">
        <f>+J15-J16</f>
        <v>6627705</v>
      </c>
      <c r="K17" s="400">
        <f>+K15-K16</f>
        <v>10542993</v>
      </c>
      <c r="L17" s="450"/>
      <c r="M17" s="399"/>
      <c r="N17" s="400">
        <f>+N15-N16</f>
        <v>593003</v>
      </c>
      <c r="O17" s="400">
        <f>+O15-O16</f>
        <v>3165666</v>
      </c>
      <c r="P17" s="400">
        <f>+P15-P16</f>
        <v>3758669</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+G6+G7-G8-G9-G10+G58</f>
        <v>85005859</v>
      </c>
      <c r="H19" s="455"/>
      <c r="I19" s="454"/>
      <c r="J19" s="454"/>
      <c r="K19" s="454"/>
      <c r="L19" s="396">
        <f>+L6+L7-L10</f>
        <v>6419781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+'Pt 1 Summary of Data'!I44+'Pt 1 Summary of Data'!I45+'Pt 1 Summary of Data'!I46+'Pt 1 Summary of Data'!I47+'Pt 1 Summary of Data'!I51</f>
        <v>8199862</v>
      </c>
      <c r="H20" s="443"/>
      <c r="I20" s="441"/>
      <c r="J20" s="441"/>
      <c r="K20" s="441"/>
      <c r="L20" s="401">
        <f>+'Pt 1 Summary of Data'!O44+'Pt 1 Summary of Data'!O45+'Pt 1 Summary of Data'!O46+'Pt 1 Summary of Data'!O47+'Pt 1 Summary of Data'!O51</f>
        <v>664597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+G23</f>
        <v>3734341.45</v>
      </c>
      <c r="H21" s="443"/>
      <c r="I21" s="441"/>
      <c r="J21" s="441"/>
      <c r="K21" s="441"/>
      <c r="L21" s="401">
        <f>+L23</f>
        <v>331385.25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f>
        <v>-18518892</v>
      </c>
      <c r="H22" s="443"/>
      <c r="I22" s="441"/>
      <c r="J22" s="441"/>
      <c r="K22" s="441"/>
      <c r="L22" s="401">
        <f>+L15-L19-L20-L16</f>
        <v>-456673</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83">
        <f>0.05*(G15-G16)</f>
        <v>3734341.45</v>
      </c>
      <c r="H23" s="443"/>
      <c r="I23" s="441"/>
      <c r="J23" s="441"/>
      <c r="K23" s="441"/>
      <c r="L23" s="401">
        <f>+((0.05)*(L15-L16))</f>
        <v>331385.25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83">
        <f>0.03*(G15-G16)</f>
        <v>2240604.87</v>
      </c>
      <c r="H24" s="443"/>
      <c r="I24" s="441"/>
      <c r="J24" s="441"/>
      <c r="K24" s="441"/>
      <c r="L24" s="483">
        <f>0.03*(L15-L16)</f>
        <v>198831.15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+G26</f>
        <v>13750464.449999999</v>
      </c>
      <c r="H25" s="443"/>
      <c r="I25" s="441"/>
      <c r="J25" s="441"/>
      <c r="K25" s="441"/>
      <c r="L25" s="401">
        <f>+L26</f>
        <v>1005187.25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f>
        <v>13750464.449999999</v>
      </c>
      <c r="H26" s="443"/>
      <c r="I26" s="441"/>
      <c r="J26" s="441"/>
      <c r="K26" s="441"/>
      <c r="L26" s="401">
        <f>+L20+L21+L16</f>
        <v>1005187.25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+((0.22)*(G15-G16)+G16)</f>
        <v>18247363.380000003</v>
      </c>
      <c r="H27" s="443"/>
      <c r="I27" s="441"/>
      <c r="J27" s="441"/>
      <c r="K27" s="441"/>
      <c r="L27" s="483">
        <f>+(0.22)*(L15-L16)+L16</f>
        <v>1467300.1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+G15-G25</f>
        <v>62752625.549999997</v>
      </c>
      <c r="H28" s="443"/>
      <c r="I28" s="441"/>
      <c r="J28" s="441"/>
      <c r="K28" s="441"/>
      <c r="L28" s="401">
        <f>+(L15-L25)</f>
        <v>5631722.75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+G31</f>
        <v>12256727.870000001</v>
      </c>
      <c r="H29" s="443"/>
      <c r="I29" s="441"/>
      <c r="J29" s="441"/>
      <c r="K29" s="441"/>
      <c r="L29" s="401">
        <f>+L31</f>
        <v>872633.15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+G24</f>
        <v>2240604.87</v>
      </c>
      <c r="H30" s="443"/>
      <c r="I30" s="441"/>
      <c r="J30" s="441"/>
      <c r="K30" s="441"/>
      <c r="L30" s="471">
        <f>+L24</f>
        <v>198831.15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12256727.870000001</v>
      </c>
      <c r="H31" s="443"/>
      <c r="I31" s="441"/>
      <c r="J31" s="441"/>
      <c r="K31" s="441"/>
      <c r="L31" s="401">
        <f>+(L20+L30+L16)</f>
        <v>872633.15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+(0.2*(G15-G16)+G16)</f>
        <v>16753626.800000001</v>
      </c>
      <c r="H32" s="443"/>
      <c r="I32" s="441"/>
      <c r="J32" s="441"/>
      <c r="K32" s="441"/>
      <c r="L32" s="401">
        <f>+(0.2*(L15-L16))+L16</f>
        <v>1334746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+G15-G29</f>
        <v>64246362.129999995</v>
      </c>
      <c r="H33" s="443"/>
      <c r="I33" s="441"/>
      <c r="J33" s="441"/>
      <c r="K33" s="441"/>
      <c r="L33" s="401">
        <f>+L15-L29</f>
        <v>5764276.8499999996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+G19/G33</f>
        <v>1.323123305067359</v>
      </c>
      <c r="H34" s="462"/>
      <c r="I34" s="463"/>
      <c r="J34" s="463"/>
      <c r="K34" s="463"/>
      <c r="L34" s="469">
        <f>+L19/L33</f>
        <v>1.1137183669448494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14101989</v>
      </c>
      <c r="H35" s="443"/>
      <c r="I35" s="441"/>
      <c r="J35" s="441"/>
      <c r="K35" s="441"/>
      <c r="L35" s="477">
        <v>92462</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14101989</v>
      </c>
      <c r="H36" s="443"/>
      <c r="I36" s="441"/>
      <c r="J36" s="441"/>
      <c r="K36" s="441"/>
      <c r="L36" s="478">
        <v>92462</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8137</v>
      </c>
      <c r="E38" s="432">
        <f>+'Pt 1 Summary of Data'!I60</f>
        <v>18602.75</v>
      </c>
      <c r="F38" s="432">
        <f>+E38+D38</f>
        <v>26739.75</v>
      </c>
      <c r="G38" s="448"/>
      <c r="H38" s="404"/>
      <c r="I38" s="405">
        <v>743</v>
      </c>
      <c r="J38" s="432">
        <f>+'Pt 1 Summary of Data'!O60</f>
        <v>1433.5</v>
      </c>
      <c r="K38" s="432">
        <f>+J38+I38</f>
        <v>2176.5</v>
      </c>
      <c r="L38" s="448"/>
      <c r="M38" s="404"/>
      <c r="N38" s="405">
        <v>75</v>
      </c>
      <c r="O38" s="432">
        <f>+'Pt 1 Summary of Data'!Q60</f>
        <v>613.33333333333337</v>
      </c>
      <c r="P38" s="432">
        <f>+O38+N38</f>
        <v>688.33333333333337</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1.5721599999999999E-2</v>
      </c>
      <c r="G39" s="461"/>
      <c r="H39" s="459"/>
      <c r="I39" s="460"/>
      <c r="J39" s="460"/>
      <c r="K39" s="439">
        <v>5.8675333000000003E-2</v>
      </c>
      <c r="L39" s="461"/>
      <c r="M39" s="459"/>
      <c r="N39" s="460"/>
      <c r="O39" s="460"/>
      <c r="P39" s="439">
        <v>0.36910399999999999</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+F41*F39</f>
        <v>1.5721599999999999E-2</v>
      </c>
      <c r="G42" s="447"/>
      <c r="H42" s="443"/>
      <c r="I42" s="441"/>
      <c r="J42" s="441"/>
      <c r="K42" s="436">
        <f>K41*K39</f>
        <v>5.8675333000000003E-2</v>
      </c>
      <c r="L42" s="447"/>
      <c r="M42" s="443"/>
      <c r="N42" s="441"/>
      <c r="O42" s="441"/>
      <c r="P42" s="436">
        <f>P41*P39</f>
        <v>0.36910399999999999</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f>+D12/D17</f>
        <v>1.218919303959024</v>
      </c>
      <c r="E45" s="436">
        <f>+E12/E17</f>
        <v>1.1423637626923484</v>
      </c>
      <c r="F45" s="436">
        <f>+F12/F17</f>
        <v>1.1643170527979529</v>
      </c>
      <c r="G45" s="447"/>
      <c r="H45" s="438"/>
      <c r="I45" s="436">
        <f>+I12/I17</f>
        <v>0.98427216593006694</v>
      </c>
      <c r="J45" s="436">
        <f>+J12/J17</f>
        <v>0.96862805450755574</v>
      </c>
      <c r="K45" s="436">
        <f>+K12/K17</f>
        <v>0.97443771422403491</v>
      </c>
      <c r="L45" s="447"/>
      <c r="M45" s="438"/>
      <c r="N45" s="436">
        <f>+N12/N17</f>
        <v>0.80321516080019828</v>
      </c>
      <c r="O45" s="436">
        <f>+O12/O17</f>
        <v>0.89579380768533379</v>
      </c>
      <c r="P45" s="436">
        <f>+P12/P17</f>
        <v>0.88118772895405262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+F42</f>
        <v>1.5721599999999999E-2</v>
      </c>
      <c r="G47" s="447"/>
      <c r="H47" s="443"/>
      <c r="I47" s="441"/>
      <c r="J47" s="441"/>
      <c r="K47" s="436">
        <f>+K42</f>
        <v>5.8675333000000003E-2</v>
      </c>
      <c r="L47" s="447"/>
      <c r="M47" s="443"/>
      <c r="N47" s="441"/>
      <c r="O47" s="441"/>
      <c r="P47" s="436">
        <f>+P42</f>
        <v>0.36910399999999999</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+F45+F47</f>
        <v>1.1800386527979529</v>
      </c>
      <c r="G48" s="447"/>
      <c r="H48" s="443"/>
      <c r="I48" s="441"/>
      <c r="J48" s="441"/>
      <c r="K48" s="436">
        <f>+K47+K45</f>
        <v>1.0331130472240349</v>
      </c>
      <c r="L48" s="447"/>
      <c r="M48" s="443"/>
      <c r="N48" s="441"/>
      <c r="O48" s="441"/>
      <c r="P48" s="436">
        <f>+P47+P45</f>
        <v>1.2502917289540525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c r="I50" s="407">
        <v>0.8</v>
      </c>
      <c r="J50" s="407">
        <v>0.8</v>
      </c>
      <c r="K50" s="407">
        <v>0.8</v>
      </c>
      <c r="L50" s="448"/>
      <c r="M50" s="406"/>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1.1800386527979529</v>
      </c>
      <c r="G51" s="447"/>
      <c r="H51" s="444"/>
      <c r="I51" s="442"/>
      <c r="J51" s="442"/>
      <c r="K51" s="436">
        <f>+K48</f>
        <v>1.0331130472240349</v>
      </c>
      <c r="L51" s="447"/>
      <c r="M51" s="444"/>
      <c r="N51" s="442"/>
      <c r="O51" s="442"/>
      <c r="P51" s="436">
        <f>+P48</f>
        <v>1.2502917289540525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+E15-E16</f>
        <v>74686829</v>
      </c>
      <c r="G52" s="447"/>
      <c r="H52" s="443"/>
      <c r="I52" s="441"/>
      <c r="J52" s="441"/>
      <c r="K52" s="400">
        <f>+J15-J16</f>
        <v>6627705</v>
      </c>
      <c r="L52" s="447"/>
      <c r="M52" s="443"/>
      <c r="N52" s="441"/>
      <c r="O52" s="441"/>
      <c r="P52" s="400">
        <f>+P15-P16</f>
        <v>3758669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84">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Data'!I56</f>
        <v>7870</v>
      </c>
      <c r="D4" s="104">
        <f>+'Pt 1 Summary of Data'!O56</f>
        <v>921</v>
      </c>
      <c r="E4" s="104">
        <f>+'Pt 1 Summary of Data'!Q56</f>
        <v>450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5"/>
      <c r="D23" s="486"/>
      <c r="E23" s="486"/>
      <c r="F23" s="486"/>
      <c r="G23" s="486"/>
      <c r="H23" s="486"/>
      <c r="I23" s="486"/>
      <c r="J23" s="486"/>
      <c r="K23" s="487"/>
    </row>
    <row r="24" spans="2:12" s="5" customFormat="1" ht="100.15" customHeight="1" x14ac:dyDescent="0.2">
      <c r="B24" s="90" t="s">
        <v>213</v>
      </c>
      <c r="C24" s="488"/>
      <c r="D24" s="489"/>
      <c r="E24" s="489"/>
      <c r="F24" s="489"/>
      <c r="G24" s="489"/>
      <c r="H24" s="489"/>
      <c r="I24" s="489"/>
      <c r="J24" s="489"/>
      <c r="K24" s="4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thickBot="1" x14ac:dyDescent="0.25">
      <c r="B5" s="134" t="s">
        <v>508</v>
      </c>
      <c r="C5" s="113"/>
      <c r="D5" s="136" t="s">
        <v>505</v>
      </c>
      <c r="E5" s="7"/>
    </row>
    <row r="6" spans="1:5" ht="35.25" customHeight="1" thickTop="1" x14ac:dyDescent="0.2">
      <c r="B6" s="134" t="s">
        <v>503</v>
      </c>
      <c r="C6" s="113"/>
      <c r="D6" s="136" t="s">
        <v>506</v>
      </c>
      <c r="E6" s="7"/>
    </row>
    <row r="7" spans="1:5" ht="35.25" customHeight="1" x14ac:dyDescent="0.2">
      <c r="B7" s="134" t="s">
        <v>504</v>
      </c>
      <c r="C7" s="113"/>
      <c r="D7" s="137" t="s">
        <v>507</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515</v>
      </c>
      <c r="C27" s="113"/>
      <c r="D27" s="138" t="s">
        <v>516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518</v>
      </c>
      <c r="C34" s="113"/>
      <c r="D34" s="138" t="s">
        <v>516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517</v>
      </c>
      <c r="C48" s="113"/>
      <c r="D48" s="138" t="s">
        <v>516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509</v>
      </c>
      <c r="C56" s="115"/>
      <c r="D56" s="137" t="s">
        <v>510</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thickBot="1" x14ac:dyDescent="0.25">
      <c r="B67" s="134" t="s">
        <v>511</v>
      </c>
      <c r="C67" s="115"/>
      <c r="D67" s="137" t="s">
        <v>510</v>
      </c>
      <c r="E67" s="7"/>
    </row>
    <row r="68" spans="2:5" ht="35.25" customHeight="1" thickTop="1" thickBot="1" x14ac:dyDescent="0.25">
      <c r="B68" s="134"/>
      <c r="C68" s="115"/>
      <c r="D68" s="136"/>
      <c r="E68" s="7"/>
    </row>
    <row r="69" spans="2:5" ht="35.25" customHeight="1" thickTop="1" x14ac:dyDescent="0.2">
      <c r="B69" s="134"/>
      <c r="C69" s="115"/>
      <c r="D69" s="136"/>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512</v>
      </c>
      <c r="C78" s="115"/>
      <c r="D78" s="137" t="s">
        <v>510</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513</v>
      </c>
      <c r="C89" s="115"/>
      <c r="D89" s="137" t="s">
        <v>510</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514</v>
      </c>
      <c r="C100" s="115"/>
      <c r="D100" s="137" t="s">
        <v>510</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525</v>
      </c>
      <c r="C123" s="113"/>
      <c r="D123" s="137" t="s">
        <v>528</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526</v>
      </c>
      <c r="C134" s="113"/>
      <c r="D134" s="137" t="s">
        <v>527</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521</v>
      </c>
      <c r="C145" s="113"/>
      <c r="D145" s="137" t="s">
        <v>522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519</v>
      </c>
      <c r="C156" s="113"/>
      <c r="D156" s="137" t="s">
        <v>520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523</v>
      </c>
      <c r="C178" s="113"/>
      <c r="D178" s="137" t="s">
        <v>524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8" sqref="B8"/>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Anthony Dworak</cp:lastModifiedBy>
  <cp:lastPrinted>2014-12-18T11:24:00Z</cp:lastPrinted>
  <dcterms:created xsi:type="dcterms:W3CDTF">2012-03-15T16:14:51Z</dcterms:created>
  <dcterms:modified xsi:type="dcterms:W3CDTF">2016-08-01T17:55:19Z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