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E4" i="16"/>
  <c r="D4" i="16"/>
  <c r="P52" i="10"/>
  <c r="P51" i="10"/>
  <c r="P50" i="10"/>
  <c r="P47" i="10"/>
  <c r="P46" i="10"/>
  <c r="P44" i="10"/>
  <c r="O44" i="10"/>
  <c r="N44" i="10"/>
  <c r="M44" i="10"/>
  <c r="P41" i="10"/>
  <c r="P37" i="10"/>
  <c r="O37" i="10"/>
  <c r="O16" i="10"/>
  <c r="O17" i="10"/>
  <c r="P16" i="10"/>
  <c r="P15" i="10"/>
  <c r="O15" i="10"/>
  <c r="N17" i="10"/>
  <c r="M17" i="10"/>
  <c r="P12" i="10"/>
  <c r="O12" i="10"/>
  <c r="N12" i="10"/>
  <c r="M12" i="10"/>
  <c r="P7" i="10"/>
  <c r="P6" i="10"/>
  <c r="O6" i="10"/>
  <c r="K51" i="10"/>
  <c r="K37" i="10"/>
  <c r="I44" i="10"/>
  <c r="H44" i="10"/>
  <c r="I17" i="10"/>
  <c r="H17" i="10"/>
  <c r="I12" i="10"/>
  <c r="H12" i="10"/>
  <c r="K41" i="10"/>
  <c r="K46" i="10" s="1"/>
  <c r="J37" i="10"/>
  <c r="J17" i="10"/>
  <c r="J16" i="10"/>
  <c r="K16" i="10"/>
  <c r="K15" i="10"/>
  <c r="K17" i="10" s="1"/>
  <c r="J15" i="10"/>
  <c r="K11" i="10"/>
  <c r="K10" i="10"/>
  <c r="K7" i="10"/>
  <c r="K6" i="10"/>
  <c r="J12" i="10"/>
  <c r="J6" i="10"/>
  <c r="AT60" i="4"/>
  <c r="AT12" i="4"/>
  <c r="AT5" i="4"/>
  <c r="AS60" i="4"/>
  <c r="AS12" i="4"/>
  <c r="AS5" i="4"/>
  <c r="Q60" i="4"/>
  <c r="P60" i="4"/>
  <c r="Q12" i="4"/>
  <c r="P12" i="4"/>
  <c r="Q5" i="4"/>
  <c r="P5" i="4"/>
  <c r="K60" i="4"/>
  <c r="J60" i="4"/>
  <c r="K12" i="4"/>
  <c r="J12" i="4"/>
  <c r="K5" i="4"/>
  <c r="J5" i="4"/>
  <c r="AT54" i="18"/>
  <c r="AS54" i="18"/>
  <c r="Q54" i="18"/>
  <c r="P54" i="18"/>
  <c r="K54" i="18"/>
  <c r="J54" i="18"/>
  <c r="P17" i="10" l="1"/>
  <c r="K12" i="10"/>
  <c r="K50" i="10" s="1"/>
  <c r="K52" i="10" s="1"/>
  <c r="D11" i="16" s="1"/>
</calcChain>
</file>

<file path=xl/sharedStrings.xml><?xml version="1.0" encoding="utf-8"?>
<sst xmlns="http://schemas.openxmlformats.org/spreadsheetml/2006/main" count="589" uniqueCount="525">
  <si>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</si>
  <si>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</si>
  <si>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</si>
  <si>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</si>
  <si>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</si>
  <si>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</si>
  <si>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</si>
  <si>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</si>
  <si>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</si>
  <si>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</si>
  <si>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</si>
  <si>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</si>
  <si>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</si>
  <si>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</si>
  <si>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</si>
  <si>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</si>
  <si>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</si>
  <si>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</si>
  <si>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</si>
  <si>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</si>
  <si>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</si>
  <si>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</si>
  <si>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</si>
  <si>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</si>
  <si>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</si>
  <si>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</si>
  <si>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</si>
  <si>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</si>
  <si>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</si>
  <si>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</si>
  <si>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</si>
  <si>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</si>
  <si>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</si>
  <si>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</si>
  <si>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</si>
  <si>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</si>
  <si>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</si>
  <si>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</si>
  <si>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</si>
  <si>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</si>
  <si>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</si>
  <si>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</si>
  <si>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</si>
  <si>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</si>
  <si>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</si>
  <si>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</si>
  <si>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</si>
  <si>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</si>
  <si>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</si>
  <si>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</si>
  <si>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</si>
  <si>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</si>
  <si>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</si>
  <si>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</si>
  <si>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</si>
  <si>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</si>
  <si>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</si>
  <si>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</si>
  <si>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</si>
  <si>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</si>
  <si>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</si>
  <si>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</si>
  <si>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</si>
  <si>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</si>
  <si>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</si>
  <si>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</si>
  <si>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</si>
  <si>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</si>
  <si>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</si>
  <si>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</si>
  <si>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</si>
  <si>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</si>
  <si>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</si>
  <si>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</si>
  <si>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</si>
  <si>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</si>
  <si>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</si>
  <si>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</si>
  <si>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</si>
  <si>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</si>
  <si>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</si>
  <si>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</si>
  <si>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</si>
  <si>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</si>
  <si>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</si>
  <si>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</si>
  <si>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</si>
  <si>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</si>
  <si>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</si>
  <si>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</si>
  <si>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</si>
  <si>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</si>
  <si>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</si>
  <si>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</si>
  <si>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</si>
  <si>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</si>
  <si>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</si>
  <si>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</si>
  <si>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</si>
  <si>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</si>
  <si>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</si>
  <si>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</si>
  <si>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</si>
  <si>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</si>
  <si>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</si>
  <si>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</si>
  <si>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</si>
  <si>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</si>
  <si>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</si>
  <si>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</si>
  <si>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</si>
  <si>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</si>
  <si>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</si>
  <si>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</si>
  <si>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</si>
  <si>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</si>
  <si>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</si>
  <si>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</si>
  <si>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</si>
  <si>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</si>
  <si>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</si>
  <si>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</si>
  <si>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</si>
  <si>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</si>
  <si>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</si>
  <si>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</si>
  <si>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</si>
  <si>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</si>
  <si>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</si>
  <si>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</si>
  <si>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</si>
  <si>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</si>
  <si>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</si>
  <si>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</si>
  <si>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</si>
  <si>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</si>
  <si>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</si>
  <si>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</si>
  <si>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</si>
  <si>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</si>
  <si>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</si>
  <si>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</si>
  <si>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</si>
  <si>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</si>
  <si>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</si>
  <si>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</si>
  <si>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</si>
  <si>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</si>
  <si>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</si>
  <si>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</si>
  <si>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</si>
  <si>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</si>
  <si>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</si>
  <si>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</si>
  <si>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</si>
  <si>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</si>
  <si>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</si>
  <si>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</si>
  <si>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</si>
  <si>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</si>
  <si>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</si>
  <si>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</si>
  <si>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</si>
  <si>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</si>
  <si>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</si>
  <si>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</si>
  <si>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</si>
  <si>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</si>
  <si>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</si>
  <si>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</si>
  <si>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</si>
  <si>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</si>
  <si>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</si>
  <si>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</si>
  <si>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</si>
  <si>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</si>
  <si>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</si>
  <si>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</si>
  <si>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</si>
  <si>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</si>
  <si>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</si>
  <si>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</si>
  <si>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</si>
  <si>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</si>
  <si>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</si>
  <si>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</si>
  <si>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</si>
  <si>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</si>
  <si>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</si>
  <si>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</si>
  <si>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</si>
  <si>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</si>
  <si>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</si>
  <si>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</si>
  <si>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</si>
  <si>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</si>
  <si>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</si>
  <si>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</si>
  <si>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</si>
  <si>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</si>
  <si>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</si>
  <si>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</si>
  <si>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</si>
  <si>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</si>
  <si>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</si>
  <si>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</si>
  <si>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</si>
  <si>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</si>
  <si>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</si>
  <si>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</si>
  <si>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</si>
  <si>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</si>
  <si>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</si>
  <si>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</si>
  <si>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</si>
  <si>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</si>
  <si>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</si>
  <si>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</si>
  <si>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</si>
  <si>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</si>
  <si>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</si>
  <si>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</si>
  <si>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</si>
  <si>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</si>
  <si>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</si>
  <si>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</si>
  <si>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</si>
  <si>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</si>
  <si>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</si>
  <si>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</si>
  <si>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</si>
  <si>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</si>
  <si>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</si>
  <si>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</si>
  <si>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</si>
  <si>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</si>
  <si>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</si>
  <si>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</si>
  <si>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</si>
  <si>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</si>
  <si>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</si>
  <si>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</si>
  <si>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</si>
  <si>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</si>
  <si>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</si>
  <si>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</si>
  <si>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</si>
  <si>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</si>
  <si>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</si>
  <si>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</si>
  <si>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</si>
  <si>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</si>
  <si>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</si>
  <si>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</si>
  <si>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</si>
  <si>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</si>
  <si>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</si>
  <si>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</si>
  <si>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</si>
  <si>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</si>
  <si>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</si>
  <si>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</si>
  <si>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</si>
  <si>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</si>
  <si>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</si>
  <si>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</si>
  <si>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</si>
  <si>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</si>
  <si>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</si>
  <si>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</si>
  <si>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</si>
  <si>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</si>
  <si>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</si>
  <si>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</si>
  <si>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</si>
  <si>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</si>
  <si>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</si>
  <si>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</si>
  <si>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</si>
  <si>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</si>
  <si>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</si>
  <si>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</si>
  <si>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</si>
  <si>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</si>
  <si>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</si>
  <si>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</si>
  <si>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</si>
  <si>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</si>
  <si>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</si>
  <si>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</si>
  <si>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</si>
  <si>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</si>
  <si>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</si>
  <si>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</si>
  <si>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</si>
  <si>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</si>
  <si>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</si>
  <si>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</si>
  <si>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</si>
  <si>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</si>
  <si>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</si>
  <si>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</si>
  <si>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</si>
  <si>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</si>
  <si>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</si>
  <si>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</si>
  <si>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</si>
  <si>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</si>
  <si>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</si>
  <si>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</si>
  <si>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</si>
  <si>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</si>
  <si>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</si>
  <si>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</si>
  <si>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</si>
  <si>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</si>
  <si>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</si>
  <si>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</si>
  <si>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</si>
  <si>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</si>
  <si>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</si>
  <si>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</si>
  <si>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</si>
  <si>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</si>
  <si>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</si>
  <si>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</si>
  <si>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</si>
  <si>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</si>
  <si>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</si>
  <si>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</si>
  <si>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</si>
  <si>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</si>
  <si>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</si>
  <si>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</si>
  <si>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</si>
  <si>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</si>
  <si>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</si>
  <si>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</si>
  <si>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</si>
  <si>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</si>
  <si>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</si>
  <si>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</si>
  <si>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</si>
  <si>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</si>
  <si>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</si>
  <si>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</si>
  <si>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</si>
  <si>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</si>
  <si>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</si>
  <si>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</si>
  <si>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</si>
  <si>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</si>
  <si>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</si>
  <si>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</si>
  <si>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</si>
  <si>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</si>
  <si>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</si>
  <si>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</si>
  <si>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</si>
  <si>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</si>
  <si>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</si>
  <si>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</si>
  <si>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</si>
  <si>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</si>
  <si>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</si>
  <si>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</si>
  <si>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</si>
  <si>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</si>
  <si>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</si>
  <si>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</si>
  <si>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</si>
  <si>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</si>
  <si>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</si>
  <si>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</si>
  <si>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</si>
  <si>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</si>
  <si>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</si>
  <si>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</si>
  <si>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</si>
  <si>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</si>
  <si>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</si>
  <si>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</si>
  <si>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</si>
  <si>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</si>
  <si>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</si>
  <si>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</si>
  <si>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</si>
  <si>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</si>
  <si>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</si>
  <si>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</si>
  <si>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</si>
  <si>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</si>
  <si>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</si>
  <si>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</si>
  <si>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</si>
  <si>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</si>
  <si>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</si>
  <si>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</si>
  <si>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</si>
  <si>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</si>
  <si>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</si>
  <si>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</si>
  <si>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</si>
  <si>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</si>
  <si>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</si>
  <si>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</si>
  <si>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</si>
  <si>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</si>
  <si>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</si>
  <si>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</si>
  <si>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</si>
  <si>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</si>
  <si>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</si>
  <si>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</si>
  <si>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</si>
  <si>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</si>
  <si>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</si>
  <si>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</si>
  <si>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</si>
  <si>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</si>
  <si>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</si>
  <si>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</si>
  <si>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</si>
  <si>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</si>
  <si>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</si>
  <si>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</si>
  <si>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</si>
  <si>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</si>
  <si>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</si>
  <si>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</si>
  <si>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</si>
  <si>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</si>
  <si>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</si>
  <si>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</si>
  <si>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</si>
  <si>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</si>
  <si>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</si>
  <si>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</si>
  <si>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</si>
  <si>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</si>
  <si>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</si>
  <si>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</si>
  <si>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</si>
  <si>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</si>
  <si>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</si>
  <si>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</si>
  <si>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</si>
  <si>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</si>
  <si>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</si>
  <si>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</si>
  <si>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</si>
  <si>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</si>
  <si>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</si>
  <si>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</si>
  <si>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</si>
  <si>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</si>
  <si>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</si>
  <si>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</si>
  <si>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</si>
  <si>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</si>
  <si>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</si>
  <si>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</si>
  <si>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</si>
  <si>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</si>
  <si>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</si>
  <si>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</si>
  <si>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</si>
  <si>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</si>
  <si>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</si>
  <si>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</si>
  <si>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</si>
  <si>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</si>
  <si>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</si>
  <si>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</si>
  <si>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</si>
  <si>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</si>
  <si>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</si>
  <si>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</si>
  <si>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</si>
  <si>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</si>
  <si>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</si>
  <si>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</si>
  <si>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</si>
  <si>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</si>
  <si>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</si>
  <si>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</si>
  <si>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</si>
  <si>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</si>
  <si>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</si>
  <si>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</si>
  <si>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</si>
  <si>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</si>
  <si>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</si>
  <si>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</si>
  <si>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GEMCare Health Plan, Inc.</t>
  </si>
  <si>
    <t>GEMCare Health Plan</t>
  </si>
  <si>
    <t>2014</t>
  </si>
  <si>
    <t>4550 California Ave., Ste. 100 Bakersfield, CA 93518</t>
  </si>
  <si>
    <t>203765731</t>
  </si>
  <si>
    <t>79325</t>
  </si>
  <si>
    <t>536</t>
  </si>
  <si>
    <t>Paid FFS Claims</t>
  </si>
  <si>
    <t>Paid Professional Capitation</t>
  </si>
  <si>
    <t>Paid Rx Claims</t>
  </si>
  <si>
    <t>Paid Institutional Capitation</t>
  </si>
  <si>
    <t>Insured Services</t>
  </si>
  <si>
    <t>Claims are recorded in the period incurred</t>
  </si>
  <si>
    <t>Capitation expense is paid and recorded in the current month</t>
  </si>
  <si>
    <t>Employed Sales Staff</t>
  </si>
  <si>
    <t>Current staff of 3 members to service Medicare enrollees, 2 members to service Commercial lines of business</t>
  </si>
  <si>
    <t>allocation between small and large group members is on a PMPM basis</t>
  </si>
  <si>
    <t>Payments to brokers</t>
  </si>
  <si>
    <t>brokers are compensated on a percent of premium basis, cost is recognized with revenue is recognized</t>
  </si>
  <si>
    <t>one group making up 60% of total commercial membership has no comissions paid</t>
  </si>
  <si>
    <t>All other administrative expenses</t>
  </si>
  <si>
    <t>between large and small group on a PMPM basis</t>
  </si>
  <si>
    <t>Occupancy costs are allocated on a per member basis between Medicare and Commercial.  Direct Commercial costs are allocated</t>
  </si>
  <si>
    <t>Federal Income Taxes</t>
  </si>
  <si>
    <t>Federal taxes are estimated (adding back non-deductible portion of ACA taxes) at an effective rate of 31.95%</t>
  </si>
  <si>
    <t>State taxes, California, are estimated (adding back non-deductible portion of ACA taxes) at an effective rate of 8.80%</t>
  </si>
  <si>
    <t>State Income Taxes</t>
  </si>
  <si>
    <t>PCORI Fees</t>
  </si>
  <si>
    <t>Calculated based on rate of $2.00 PEPM</t>
  </si>
  <si>
    <t>ACA Fees</t>
  </si>
  <si>
    <t>Based on amount paid in 2014, allocated between products on a percent of revenue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</si>
</sst>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t="s">
        <v>499</v>
      </c>
    </row>
    <row r="12" spans="1:6" x14ac:dyDescent="0.2">
      <c r="B12" s="232" t="s">
        <v>35</v>
      </c>
      <c r="C12" s="378" t="s">
        <v>139</v>
      </c>
    </row>
    <row r="13" spans="1:6" x14ac:dyDescent="0.2">
      <c r="B13" s="232" t="s">
        <v>50</v>
      </c>
      <c r="C13" s="378" t="s">
        <v>139</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J27" sqref="J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f>+'Pt 2 Premium and Claims'!J5+'Pt 2 Premium and Claims'!J6-'Pt 2 Premium and Claims'!J7</f>
        <v>11812848</v>
      </c>
      <c r="K5" s="106">
        <f>+'Pt 2 Premium and Claims'!K5+'Pt 2 Premium and Claims'!K6</f>
        <v>11812848</v>
      </c>
      <c r="L5" s="106"/>
      <c r="M5" s="106"/>
      <c r="N5" s="106"/>
      <c r="O5" s="105"/>
      <c r="P5" s="105">
        <f>+'Pt 2 Premium and Claims'!P5+'Pt 2 Premium and Claims'!P6-'Pt 2 Premium and Claims'!P7</f>
        <v>44981931</v>
      </c>
      <c r="Q5" s="106">
        <f>+'Pt 2 Premium and Claims'!Q5+'Pt 2 Premium and Claims'!Q6-'Pt 2 Premium and Claims'!Q7</f>
        <v>44981931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86081867</v>
      </c>
      <c r="AT5" s="107">
        <f>+'Pt 2 Premium and Claims'!AT5</f>
        <v>2278616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9726809</v>
      </c>
      <c r="K12" s="106">
        <f>+'Pt 2 Premium and Claims'!K54</f>
        <v>9726809</v>
      </c>
      <c r="L12" s="106"/>
      <c r="M12" s="106"/>
      <c r="N12" s="106"/>
      <c r="O12" s="105"/>
      <c r="P12" s="105">
        <f>+'Pt 2 Premium and Claims'!P54</f>
        <v>39970478</v>
      </c>
      <c r="Q12" s="106">
        <f>+'Pt 2 Premium and Claims'!Q54</f>
        <v>39970478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78733345</v>
      </c>
      <c r="AT12" s="107">
        <f>+'Pt 2 Premium and Claims'!AT54</f>
        <v>2409918</v>
      </c>
      <c r="AU12" s="107"/>
      <c r="AV12" s="312"/>
      <c r="AW12" s="317"/>
    </row>
    <row r="13" spans="1:49" ht="25.5" x14ac:dyDescent="0.2">
      <c r="B13" s="155" t="s">
        <v>230</v>
      </c>
      <c r="C13" s="62" t="s">
        <v>37</v>
      </c>
      <c r="D13" s="109"/>
      <c r="E13" s="110"/>
      <c r="F13" s="110"/>
      <c r="G13" s="289"/>
      <c r="H13" s="290"/>
      <c r="I13" s="109"/>
      <c r="J13" s="109">
        <v>1584546</v>
      </c>
      <c r="K13" s="110">
        <v>1584546</v>
      </c>
      <c r="L13" s="110"/>
      <c r="M13" s="289"/>
      <c r="N13" s="290"/>
      <c r="O13" s="109"/>
      <c r="P13" s="109">
        <v>7121921</v>
      </c>
      <c r="Q13" s="110">
        <v>7121921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11675544</v>
      </c>
      <c r="AT13" s="113">
        <v>431332</v>
      </c>
      <c r="AU13" s="113"/>
      <c r="AV13" s="311"/>
      <c r="AW13" s="318"/>
    </row>
    <row r="14" spans="1:49" ht="25.5" x14ac:dyDescent="0.2">
      <c r="B14" s="155" t="s">
        <v>231</v>
      </c>
      <c r="C14" s="62" t="s">
        <v>6</v>
      </c>
      <c r="D14" s="109"/>
      <c r="E14" s="110"/>
      <c r="F14" s="110"/>
      <c r="G14" s="288"/>
      <c r="H14" s="291"/>
      <c r="I14" s="109"/>
      <c r="J14" s="109">
        <v>46792</v>
      </c>
      <c r="K14" s="110">
        <v>46792</v>
      </c>
      <c r="L14" s="110"/>
      <c r="M14" s="288"/>
      <c r="N14" s="291"/>
      <c r="O14" s="109"/>
      <c r="P14" s="109">
        <v>210273</v>
      </c>
      <c r="Q14" s="110">
        <v>210273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915524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61056</v>
      </c>
      <c r="K25" s="110">
        <v>61056</v>
      </c>
      <c r="L25" s="110"/>
      <c r="M25" s="110"/>
      <c r="N25" s="110"/>
      <c r="O25" s="109"/>
      <c r="P25" s="109">
        <v>489769</v>
      </c>
      <c r="Q25" s="110">
        <v>489769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-301851</v>
      </c>
      <c r="AT25" s="113">
        <v>-186360</v>
      </c>
      <c r="AU25" s="113"/>
      <c r="AV25" s="113"/>
      <c r="AW25" s="318"/>
    </row>
    <row r="26" spans="1:49" s="5" customFormat="1" x14ac:dyDescent="0.2">
      <c r="A26" s="35"/>
      <c r="B26" s="158" t="s">
        <v>243</v>
      </c>
      <c r="C26" s="62"/>
      <c r="D26" s="109"/>
      <c r="E26" s="110"/>
      <c r="F26" s="110"/>
      <c r="G26" s="110"/>
      <c r="H26" s="110"/>
      <c r="I26" s="109"/>
      <c r="J26" s="109">
        <v>6954</v>
      </c>
      <c r="K26" s="110">
        <v>6954</v>
      </c>
      <c r="L26" s="110"/>
      <c r="M26" s="110"/>
      <c r="N26" s="110"/>
      <c r="O26" s="109"/>
      <c r="P26" s="109">
        <v>19497</v>
      </c>
      <c r="Q26" s="110">
        <v>19497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852</v>
      </c>
      <c r="AU26" s="113"/>
      <c r="AV26" s="113"/>
      <c r="AW26" s="318"/>
    </row>
    <row r="27" spans="1:49" s="5" customFormat="1" x14ac:dyDescent="0.2">
      <c r="B27" s="158" t="s">
        <v>244</v>
      </c>
      <c r="C27" s="62"/>
      <c r="D27" s="109"/>
      <c r="E27" s="110"/>
      <c r="F27" s="110"/>
      <c r="G27" s="110"/>
      <c r="H27" s="110"/>
      <c r="I27" s="109"/>
      <c r="J27" s="109">
        <v>337102</v>
      </c>
      <c r="K27" s="110">
        <v>337102</v>
      </c>
      <c r="L27" s="110"/>
      <c r="M27" s="110"/>
      <c r="N27" s="110"/>
      <c r="O27" s="109"/>
      <c r="P27" s="109">
        <v>1064629</v>
      </c>
      <c r="Q27" s="110">
        <v>1064629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878828</v>
      </c>
      <c r="AT27" s="113">
        <v>49936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17789</v>
      </c>
      <c r="K30" s="110">
        <v>17789</v>
      </c>
      <c r="L30" s="110"/>
      <c r="M30" s="110"/>
      <c r="N30" s="110"/>
      <c r="O30" s="109"/>
      <c r="P30" s="109">
        <v>142700</v>
      </c>
      <c r="Q30" s="110">
        <v>142700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-87948</v>
      </c>
      <c r="AT30" s="113">
        <v>-54299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56374</v>
      </c>
      <c r="K46" s="110">
        <v>56374</v>
      </c>
      <c r="L46" s="110"/>
      <c r="M46" s="110"/>
      <c r="N46" s="110"/>
      <c r="O46" s="109"/>
      <c r="P46" s="109">
        <v>45070</v>
      </c>
      <c r="Q46" s="110">
        <v>45070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611229</v>
      </c>
      <c r="AT46" s="113">
        <v>2726</v>
      </c>
      <c r="AU46" s="113"/>
      <c r="AV46" s="113"/>
      <c r="AW46" s="318"/>
    </row>
    <row r="47" spans="1:49" x14ac:dyDescent="0.2">
      <c r="B47" s="161" t="s">
        <v>264</v>
      </c>
      <c r="C47" s="62" t="s">
        <v>21</v>
      </c>
      <c r="D47" s="109"/>
      <c r="E47" s="110"/>
      <c r="F47" s="110"/>
      <c r="G47" s="110"/>
      <c r="H47" s="110"/>
      <c r="I47" s="109"/>
      <c r="J47" s="109">
        <v>768177</v>
      </c>
      <c r="K47" s="110">
        <v>768177</v>
      </c>
      <c r="L47" s="110"/>
      <c r="M47" s="110"/>
      <c r="N47" s="110"/>
      <c r="O47" s="109"/>
      <c r="P47" s="109">
        <v>385080</v>
      </c>
      <c r="Q47" s="110">
        <v>385080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266221</v>
      </c>
      <c r="AT47" s="113">
        <v>120297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842830</v>
      </c>
      <c r="K51" s="110">
        <v>842830</v>
      </c>
      <c r="L51" s="110"/>
      <c r="M51" s="110"/>
      <c r="N51" s="110"/>
      <c r="O51" s="109"/>
      <c r="P51" s="109">
        <v>2362761</v>
      </c>
      <c r="Q51" s="110">
        <v>2362761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7494852</v>
      </c>
      <c r="AT51" s="113">
        <v>332853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1880</v>
      </c>
      <c r="K56" s="122">
        <v>1880</v>
      </c>
      <c r="L56" s="122"/>
      <c r="M56" s="122"/>
      <c r="N56" s="122"/>
      <c r="O56" s="121"/>
      <c r="P56" s="121">
        <v>3751</v>
      </c>
      <c r="Q56" s="122">
        <v>3751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7990</v>
      </c>
      <c r="AT56" s="123">
        <v>62</v>
      </c>
      <c r="AU56" s="123"/>
      <c r="AV56" s="123"/>
      <c r="AW56" s="309"/>
    </row>
    <row r="57" spans="2:49" x14ac:dyDescent="0.2">
      <c r="B57" s="161" t="s">
        <v>273</v>
      </c>
      <c r="C57" s="62" t="s">
        <v>25</v>
      </c>
      <c r="D57" s="124"/>
      <c r="E57" s="125"/>
      <c r="F57" s="125"/>
      <c r="G57" s="125"/>
      <c r="H57" s="125"/>
      <c r="I57" s="124"/>
      <c r="J57" s="124">
        <v>3440</v>
      </c>
      <c r="K57" s="125">
        <v>3440</v>
      </c>
      <c r="L57" s="125"/>
      <c r="M57" s="125"/>
      <c r="N57" s="125"/>
      <c r="O57" s="124"/>
      <c r="P57" s="124">
        <v>9466</v>
      </c>
      <c r="Q57" s="125">
        <v>9466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7990</v>
      </c>
      <c r="AT57" s="126">
        <v>131</v>
      </c>
      <c r="AU57" s="126"/>
      <c r="AV57" s="126"/>
      <c r="AW57" s="310"/>
    </row>
    <row r="58" spans="2:49" x14ac:dyDescent="0.2">
      <c r="B58" s="161" t="s">
        <v>274</v>
      </c>
      <c r="C58" s="62" t="s">
        <v>26</v>
      </c>
      <c r="D58" s="330"/>
      <c r="E58" s="331"/>
      <c r="F58" s="331"/>
      <c r="G58" s="331"/>
      <c r="H58" s="331"/>
      <c r="I58" s="330"/>
      <c r="J58" s="124">
        <v>195</v>
      </c>
      <c r="K58" s="125">
        <v>195</v>
      </c>
      <c r="L58" s="125"/>
      <c r="M58" s="125"/>
      <c r="N58" s="125"/>
      <c r="O58" s="124"/>
      <c r="P58" s="124">
        <v>16</v>
      </c>
      <c r="Q58" s="125">
        <v>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7990</v>
      </c>
      <c r="AT58" s="126">
        <v>9</v>
      </c>
      <c r="AU58" s="126"/>
      <c r="AV58" s="126"/>
      <c r="AW58" s="310"/>
    </row>
    <row r="59" spans="2:49" x14ac:dyDescent="0.2">
      <c r="B59" s="161" t="s">
        <v>275</v>
      </c>
      <c r="C59" s="62" t="s">
        <v>27</v>
      </c>
      <c r="D59" s="124"/>
      <c r="E59" s="125"/>
      <c r="F59" s="125"/>
      <c r="G59" s="125"/>
      <c r="H59" s="125"/>
      <c r="I59" s="124"/>
      <c r="J59" s="124">
        <v>40907</v>
      </c>
      <c r="K59" s="125">
        <v>40907</v>
      </c>
      <c r="L59" s="125"/>
      <c r="M59" s="125"/>
      <c r="N59" s="125"/>
      <c r="O59" s="124"/>
      <c r="P59" s="124">
        <v>114687</v>
      </c>
      <c r="Q59" s="125">
        <v>114687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96637</v>
      </c>
      <c r="AT59" s="126">
        <v>5011</v>
      </c>
      <c r="AU59" s="126"/>
      <c r="AV59" s="126"/>
      <c r="AW59" s="310"/>
    </row>
    <row r="60" spans="2:49" x14ac:dyDescent="0.2">
      <c r="B60" s="161" t="s">
        <v>276</v>
      </c>
      <c r="C60" s="62"/>
      <c r="D60" s="127"/>
      <c r="E60" s="128"/>
      <c r="F60" s="128"/>
      <c r="G60" s="128"/>
      <c r="H60" s="128"/>
      <c r="I60" s="127"/>
      <c r="J60" s="127">
        <f>+J59/12</f>
        <v>3408.9166666666665</v>
      </c>
      <c r="K60" s="128">
        <f>+K59/12</f>
        <v>3408.9166666666665</v>
      </c>
      <c r="L60" s="128"/>
      <c r="M60" s="128"/>
      <c r="N60" s="128"/>
      <c r="O60" s="127"/>
      <c r="P60" s="127">
        <f>+P59/12</f>
        <v>9557.25</v>
      </c>
      <c r="Q60" s="128">
        <f>+Q59/12</f>
        <v>9557.25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8053.083333333333</v>
      </c>
      <c r="AT60" s="129">
        <f>+AT59/12</f>
        <v>417.58333333333331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I23"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11787115</v>
      </c>
      <c r="K5" s="118">
        <v>11683910</v>
      </c>
      <c r="L5" s="118"/>
      <c r="M5" s="118"/>
      <c r="N5" s="118"/>
      <c r="O5" s="117"/>
      <c r="P5" s="117">
        <v>44980341</v>
      </c>
      <c r="Q5" s="118">
        <v>44980341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86081867</v>
      </c>
      <c r="AT5" s="119">
        <v>2278616</v>
      </c>
      <c r="AU5" s="119"/>
      <c r="AV5" s="312"/>
      <c r="AW5" s="317"/>
    </row>
    <row r="6" spans="2:49" x14ac:dyDescent="0.2">
      <c r="B6" s="176" t="s">
        <v>279</v>
      </c>
      <c r="C6" s="133" t="s">
        <v>8</v>
      </c>
      <c r="D6" s="109"/>
      <c r="E6" s="110"/>
      <c r="F6" s="110"/>
      <c r="G6" s="111"/>
      <c r="H6" s="111"/>
      <c r="I6" s="109"/>
      <c r="J6" s="109">
        <v>128938</v>
      </c>
      <c r="K6" s="110">
        <v>128938</v>
      </c>
      <c r="L6" s="110"/>
      <c r="M6" s="110"/>
      <c r="N6" s="110"/>
      <c r="O6" s="109"/>
      <c r="P6" s="109">
        <v>1590</v>
      </c>
      <c r="Q6" s="110">
        <v>1590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103205</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9499789</v>
      </c>
      <c r="K23" s="288"/>
      <c r="L23" s="288"/>
      <c r="M23" s="288"/>
      <c r="N23" s="288"/>
      <c r="O23" s="292"/>
      <c r="P23" s="109">
        <v>39471690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74857797</v>
      </c>
      <c r="AT23" s="113">
        <v>2235429</v>
      </c>
      <c r="AU23" s="113"/>
      <c r="AV23" s="311"/>
      <c r="AW23" s="318"/>
    </row>
    <row r="24" spans="2:49" ht="28.5" customHeight="1" x14ac:dyDescent="0.2">
      <c r="B24" s="178" t="s">
        <v>114</v>
      </c>
      <c r="C24" s="133"/>
      <c r="D24" s="293"/>
      <c r="E24" s="110"/>
      <c r="F24" s="110"/>
      <c r="G24" s="110"/>
      <c r="H24" s="110"/>
      <c r="I24" s="109"/>
      <c r="J24" s="293"/>
      <c r="K24" s="110">
        <v>9698050</v>
      </c>
      <c r="L24" s="110"/>
      <c r="M24" s="110"/>
      <c r="N24" s="110"/>
      <c r="O24" s="109"/>
      <c r="P24" s="293"/>
      <c r="Q24" s="110">
        <v>39834582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227020</v>
      </c>
      <c r="K26" s="288"/>
      <c r="L26" s="288"/>
      <c r="M26" s="288"/>
      <c r="N26" s="288"/>
      <c r="O26" s="292"/>
      <c r="P26" s="109">
        <v>498788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3875548</v>
      </c>
      <c r="AT26" s="113">
        <v>174489</v>
      </c>
      <c r="AU26" s="113"/>
      <c r="AV26" s="311"/>
      <c r="AW26" s="318"/>
    </row>
    <row r="27" spans="2:49" s="5" customFormat="1" ht="25.5" x14ac:dyDescent="0.2">
      <c r="B27" s="178" t="s">
        <v>85</v>
      </c>
      <c r="C27" s="133"/>
      <c r="D27" s="293"/>
      <c r="E27" s="110"/>
      <c r="F27" s="110"/>
      <c r="G27" s="110"/>
      <c r="H27" s="110"/>
      <c r="I27" s="109"/>
      <c r="J27" s="293"/>
      <c r="K27" s="110">
        <v>28759</v>
      </c>
      <c r="L27" s="110"/>
      <c r="M27" s="110"/>
      <c r="N27" s="110"/>
      <c r="O27" s="109"/>
      <c r="P27" s="293"/>
      <c r="Q27" s="110">
        <v>135896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f>+J23+J26</f>
        <v>9726809</v>
      </c>
      <c r="K54" s="115">
        <f>+K24+K27</f>
        <v>9726809</v>
      </c>
      <c r="L54" s="115"/>
      <c r="M54" s="115"/>
      <c r="N54" s="115"/>
      <c r="O54" s="114"/>
      <c r="P54" s="114">
        <f>+P23+P26</f>
        <v>39970478</v>
      </c>
      <c r="Q54" s="115">
        <f>+Q24+Q27</f>
        <v>39970478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f>
        <v>78733345</v>
      </c>
      <c r="AT54" s="116">
        <f>+AT23+AT26</f>
        <v>2409918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22" activePane="bottomRight" state="frozen"/>
      <selection activeCell="B1" sqref="B1"/>
      <selection pane="topRight" activeCell="B1" sqref="B1"/>
      <selection pane="bottomLeft" activeCell="B1" sqref="B1"/>
      <selection pane="bottomRight" activeCell="J44" sqref="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4973513</v>
      </c>
      <c r="I5" s="118">
        <v>7775779</v>
      </c>
      <c r="J5" s="346"/>
      <c r="K5" s="346"/>
      <c r="L5" s="312"/>
      <c r="M5" s="117">
        <v>36377024</v>
      </c>
      <c r="N5" s="118">
        <v>38374832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4973513</v>
      </c>
      <c r="I6" s="110">
        <v>7775779</v>
      </c>
      <c r="J6" s="115">
        <f>+'Pt 1 Summary of Data'!K12</f>
        <v>9726809</v>
      </c>
      <c r="K6" s="115">
        <f>+SUM(H6:J6)</f>
        <v>22476101</v>
      </c>
      <c r="L6" s="116"/>
      <c r="M6" s="109">
        <v>36377024</v>
      </c>
      <c r="N6" s="110">
        <v>38374832</v>
      </c>
      <c r="O6" s="115">
        <f>+'Pt 1 Summary of Data'!Q12</f>
        <v>39970478</v>
      </c>
      <c r="P6" s="115">
        <f>+M6+N6+O6</f>
        <v>114722334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f>+SUM(H7:J7)</f>
        <v>0</v>
      </c>
      <c r="L7" s="116"/>
      <c r="M7" s="109">
        <v>0</v>
      </c>
      <c r="N7" s="110">
        <v>0</v>
      </c>
      <c r="O7" s="115">
        <v>0</v>
      </c>
      <c r="P7" s="115">
        <f>+M7+N7+O7</f>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f t="shared" ref="K10:K11" si="0">+SUM(H10:J10)</f>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f t="shared" si="0"/>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 t="shared" ref="H12:I12" si="1">+H6+H7-H10-H11</f>
        <v>4973513</v>
      </c>
      <c r="I12" s="115">
        <f t="shared" si="1"/>
        <v>7775779</v>
      </c>
      <c r="J12" s="115">
        <f>+J6+J7-J10-J11</f>
        <v>9726809</v>
      </c>
      <c r="K12" s="115">
        <f>+K6+K7-K10-K11</f>
        <v>22476101</v>
      </c>
      <c r="L12" s="311"/>
      <c r="M12" s="114">
        <f>+M6+M7</f>
        <v>36377024</v>
      </c>
      <c r="N12" s="115">
        <f t="shared" ref="N12:P12" si="2">+N6+N7</f>
        <v>38374832</v>
      </c>
      <c r="O12" s="115">
        <f t="shared" si="2"/>
        <v>39970478</v>
      </c>
      <c r="P12" s="115">
        <f t="shared" si="2"/>
        <v>114722334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5961739</v>
      </c>
      <c r="I15" s="118">
        <v>9415877</v>
      </c>
      <c r="J15" s="106">
        <f>+'Pt 1 Summary of Data'!K5</f>
        <v>11812848</v>
      </c>
      <c r="K15" s="106">
        <f t="shared" ref="K15:K16" si="3">+SUM(H15:J15)</f>
        <v>27190464</v>
      </c>
      <c r="L15" s="107"/>
      <c r="M15" s="117">
        <v>36990080</v>
      </c>
      <c r="N15" s="118">
        <v>42503467</v>
      </c>
      <c r="O15" s="106">
        <f>+'Pt 1 Summary of Data'!Q5</f>
        <v>44981931</v>
      </c>
      <c r="P15" s="106">
        <f t="shared" ref="P15:P16" si="4">+SUM(M15:O15)</f>
        <v>124475478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37988</v>
      </c>
      <c r="J16" s="115">
        <f>+'Pt 1 Summary of Data'!J25+'Pt 1 Summary of Data'!J26+'Pt 1 Summary of Data'!J27+'Pt 1 Summary of Data'!J30</f>
        <v>422901</v>
      </c>
      <c r="K16" s="115">
        <f t="shared" si="3"/>
        <v>460889</v>
      </c>
      <c r="L16" s="116"/>
      <c r="M16" s="109">
        <v>0</v>
      </c>
      <c r="N16" s="110">
        <v>622173</v>
      </c>
      <c r="O16" s="115">
        <f>+'Pt 1 Summary of Data'!Q25+'Pt 1 Summary of Data'!Q26+'Pt 1 Summary of Data'!Q27+'Pt 1 Summary of Data'!Q30</f>
        <v>1716595</v>
      </c>
      <c r="P16" s="115">
        <f t="shared" si="4"/>
        <v>2338768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 t="shared" ref="H17:I17" si="5">+H15-H16</f>
        <v>5961739</v>
      </c>
      <c r="I17" s="115">
        <f t="shared" si="5"/>
        <v>9377889</v>
      </c>
      <c r="J17" s="115">
        <f>+J15-J16</f>
        <v>11389947</v>
      </c>
      <c r="K17" s="115">
        <f>+K15-K16</f>
        <v>26729575</v>
      </c>
      <c r="L17" s="314"/>
      <c r="M17" s="114">
        <f>+M15-M16</f>
        <v>36990080</v>
      </c>
      <c r="N17" s="115">
        <f>+N15-N16</f>
        <v>41881294</v>
      </c>
      <c r="O17" s="115">
        <f>+O15-O16</f>
        <v>43265336</v>
      </c>
      <c r="P17" s="115">
        <f>+P15-P16</f>
        <v>122136710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1946.75</v>
      </c>
      <c r="I37" s="122">
        <v>2895.9166666666665</v>
      </c>
      <c r="J37" s="256">
        <f>+'Pt 1 Summary of Data'!J60</f>
        <v>3408.9166666666665</v>
      </c>
      <c r="K37" s="256">
        <f>+H37+I37+J37</f>
        <v>8251.5833333333321</v>
      </c>
      <c r="L37" s="312"/>
      <c r="M37" s="121">
        <v>8932.4166666666661</v>
      </c>
      <c r="N37" s="122">
        <v>9361</v>
      </c>
      <c r="O37" s="256">
        <f>+'Pt 1 Summary of Data'!Q60</f>
        <v>9557.25</v>
      </c>
      <c r="P37" s="256">
        <f>+M37+N37+O37</f>
        <v>27850.666666666664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2.984651666666667E-2</v>
      </c>
      <c r="L38" s="353"/>
      <c r="M38" s="351"/>
      <c r="N38" s="352"/>
      <c r="O38" s="352"/>
      <c r="P38" s="267">
        <v>1.5543893333333334E-2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833</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+K38*K40</f>
        <v>2.984651666666667E-2</v>
      </c>
      <c r="L41" s="311"/>
      <c r="M41" s="292"/>
      <c r="N41" s="288"/>
      <c r="O41" s="288"/>
      <c r="P41" s="260">
        <f>IF(OR(P$37&lt;1000,P$37&gt;=75000),0,P$38*P$40)</f>
        <v>1.5543893333333334E-2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f t="shared" ref="H44:I44" si="6">+H12/H17</f>
        <v>0.8342386340629806</v>
      </c>
      <c r="I44" s="260">
        <f t="shared" si="6"/>
        <v>0.82916091243988921</v>
      </c>
      <c r="J44" s="260">
        <v>0.85399999999999998</v>
      </c>
      <c r="K44" s="260">
        <v>0.84099999999999997</v>
      </c>
      <c r="L44" s="311"/>
      <c r="M44" s="262">
        <f>IF(OR(M$37&lt;1000,M$17&lt;=0),"",M$12/M$17)</f>
        <v>0.98342647542259976</v>
      </c>
      <c r="N44" s="260">
        <f t="shared" ref="N44:P44" si="7">IF(OR(N$37&lt;1000,N$17&lt;=0),"",N$12/N$17)</f>
        <v>0.91627617809516582</v>
      </c>
      <c r="O44" s="260">
        <f t="shared" si="7"/>
        <v>0.92384531579738571</v>
      </c>
      <c r="P44" s="260">
        <f t="shared" si="7"/>
        <v>0.93929445127513256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2.984651666666667E-2</v>
      </c>
      <c r="L46" s="311"/>
      <c r="M46" s="292"/>
      <c r="N46" s="288"/>
      <c r="O46" s="288"/>
      <c r="P46" s="260">
        <f>IF(P$44="","",P$41)</f>
        <v>1.5543893333333334E-2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0.871</v>
      </c>
      <c r="L47" s="311"/>
      <c r="M47" s="292"/>
      <c r="N47" s="288"/>
      <c r="O47" s="288"/>
      <c r="P47" s="260">
        <f>IF(P$44="","",ROUND(P$44+MAX(0,P$46),3))</f>
        <v>0.95499999999999996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0.871</v>
      </c>
      <c r="L50" s="311"/>
      <c r="M50" s="293"/>
      <c r="N50" s="289"/>
      <c r="O50" s="289"/>
      <c r="P50" s="260">
        <f>P$47</f>
        <v>0.95499999999999996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IF(K$37&lt;1000,"",MAX(0,J$15-J$16))</f>
        <v>11389947</v>
      </c>
      <c r="L51" s="311"/>
      <c r="M51" s="292"/>
      <c r="N51" s="288"/>
      <c r="O51" s="288"/>
      <c r="P51" s="115">
        <f>IF(P$37&lt;1000,"",MAX(0,O$15-O$16))</f>
        <v>43265336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IF(OR(K$37&lt;1000,K$17&lt;=0),0,MAX(0,K$49-K$50)*K$51)</f>
        <v>0</v>
      </c>
      <c r="L52" s="311"/>
      <c r="M52" s="292"/>
      <c r="N52" s="288"/>
      <c r="O52" s="288"/>
      <c r="P52" s="115">
        <f>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Data'!K56</f>
        <v>1880</v>
      </c>
      <c r="E4" s="149">
        <f>+'Pt 1 Summary of Data'!Q56</f>
        <v>3751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D28" sqref="D28:D2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506</v>
      </c>
      <c r="E5" s="7"/>
    </row>
    <row r="6" spans="1:5" ht="35.25" customHeight="1" x14ac:dyDescent="0.2">
      <c r="B6" s="219" t="s">
        <v>502</v>
      </c>
      <c r="C6" s="150"/>
      <c r="D6" s="222" t="s">
        <v>507</v>
      </c>
      <c r="E6" s="7"/>
    </row>
    <row r="7" spans="1:5" ht="35.25" customHeight="1" x14ac:dyDescent="0.2">
      <c r="B7" s="219" t="s">
        <v>503</v>
      </c>
      <c r="C7" s="150"/>
      <c r="D7" s="222" t="s">
        <v>506</v>
      </c>
      <c r="E7" s="7"/>
    </row>
    <row r="8" spans="1:5" ht="35.25" customHeight="1" x14ac:dyDescent="0.2">
      <c r="B8" s="219" t="s">
        <v>504</v>
      </c>
      <c r="C8" s="150"/>
      <c r="D8" s="222" t="s">
        <v>507</v>
      </c>
      <c r="E8" s="7"/>
    </row>
    <row r="9" spans="1:5" ht="35.25" customHeight="1" x14ac:dyDescent="0.2">
      <c r="B9" s="219" t="s">
        <v>505</v>
      </c>
      <c r="C9" s="150"/>
      <c r="D9" s="222" t="s">
        <v>506</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517</v>
      </c>
      <c r="C27" s="150"/>
      <c r="D27" s="223" t="s">
        <v>518</v>
      </c>
      <c r="E27" s="7"/>
    </row>
    <row r="28" spans="2:5" ht="35.25" customHeight="1" x14ac:dyDescent="0.2">
      <c r="B28" s="219" t="s">
        <v>521</v>
      </c>
      <c r="C28" s="150"/>
      <c r="D28" s="222" t="s">
        <v>522</v>
      </c>
      <c r="E28" s="7"/>
    </row>
    <row r="29" spans="2:5" ht="35.25" customHeight="1" x14ac:dyDescent="0.2">
      <c r="B29" s="219" t="s">
        <v>523</v>
      </c>
      <c r="C29" s="150"/>
      <c r="D29" s="222" t="s">
        <v>524</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520</v>
      </c>
      <c r="C34" s="150"/>
      <c r="D34" s="222" t="s">
        <v>519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508</v>
      </c>
      <c r="C145" s="150"/>
      <c r="D145" s="222" t="s">
        <v>509</v>
      </c>
      <c r="E145" s="27"/>
    </row>
    <row r="146" spans="2:5" s="5" customFormat="1" ht="35.25" customHeight="1" x14ac:dyDescent="0.2">
      <c r="B146" s="219"/>
      <c r="C146" s="150"/>
      <c r="D146" s="222" t="s">
        <v>510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511</v>
      </c>
      <c r="C156" s="150"/>
      <c r="D156" s="222" t="s">
        <v>512</v>
      </c>
      <c r="E156" s="27"/>
    </row>
    <row r="157" spans="2:5" s="5" customFormat="1" ht="35.25" customHeight="1" x14ac:dyDescent="0.2">
      <c r="B157" s="219"/>
      <c r="C157" s="150"/>
      <c r="D157" s="222" t="s">
        <v>513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514</v>
      </c>
      <c r="C178" s="150"/>
      <c r="D178" s="222" t="s">
        <v>516</v>
      </c>
      <c r="E178" s="27"/>
    </row>
    <row r="179" spans="2:5" s="5" customFormat="1" ht="35.25" customHeight="1" x14ac:dyDescent="0.2">
      <c r="B179" s="219"/>
      <c r="C179" s="150"/>
      <c r="D179" s="222" t="s">
        <v>515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7" sqref="B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Cheryl Stempson</cp:lastModifiedBy>
  <cp:lastPrinted>2014-12-18T11:24:00Z</cp:lastPrinted>
  <dcterms:created xsi:type="dcterms:W3CDTF">2012-03-15T16:14:51Z</dcterms:created>
  <dcterms:modified xsi:type="dcterms:W3CDTF">2015-07-27T17:24:29Z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