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calcOnSave="0"/>
</workbook>
</file>

<file path=xl/calcChain.xml><?xml version="1.0" encoding="utf-8"?>
<calcChain xmlns="http://schemas.openxmlformats.org/spreadsheetml/2006/main">
  <c r="E11" i="16" l="1"/>
  <c r="D11" i="16"/>
  <c r="E4" i="16"/>
  <c r="D4" i="16"/>
  <c r="P41" i="10"/>
  <c r="O38" i="10"/>
  <c r="P38" i="10" s="1"/>
  <c r="O16" i="10"/>
  <c r="P16" i="10" s="1"/>
  <c r="O15" i="10"/>
  <c r="P15" i="10" s="1"/>
  <c r="O7" i="10"/>
  <c r="P7" i="10" s="1"/>
  <c r="O6" i="10"/>
  <c r="P6" i="10" s="1"/>
  <c r="N45" i="10"/>
  <c r="M45" i="10"/>
  <c r="N17" i="10"/>
  <c r="M17" i="10"/>
  <c r="N12" i="10"/>
  <c r="M12" i="10"/>
  <c r="K41" i="10"/>
  <c r="J16" i="10"/>
  <c r="K16" i="10" s="1"/>
  <c r="J11" i="10"/>
  <c r="K11" i="10" s="1"/>
  <c r="J10" i="10"/>
  <c r="K10" i="10" s="1"/>
  <c r="J6" i="10"/>
  <c r="K6" i="10" s="1"/>
  <c r="P52" i="10" l="1"/>
  <c r="O12" i="10"/>
  <c r="P12" i="10" s="1"/>
  <c r="P42" i="10"/>
  <c r="J15" i="10"/>
  <c r="K15" i="10" s="1"/>
  <c r="P17" i="10"/>
  <c r="O17" i="10"/>
  <c r="O45" i="10" s="1"/>
  <c r="J7" i="10"/>
  <c r="AU60" i="4"/>
  <c r="AT60" i="4"/>
  <c r="AU22" i="4"/>
  <c r="AT22" i="4"/>
  <c r="AU12" i="4"/>
  <c r="AT12" i="4"/>
  <c r="AU5" i="4"/>
  <c r="AT5" i="4"/>
  <c r="Q60" i="4"/>
  <c r="P60" i="4"/>
  <c r="Q22" i="4"/>
  <c r="P22" i="4"/>
  <c r="Q12" i="4"/>
  <c r="P12" i="4"/>
  <c r="Q5" i="4"/>
  <c r="P5" i="4"/>
  <c r="K60" i="4"/>
  <c r="J60" i="4"/>
  <c r="K22" i="4"/>
  <c r="J22" i="4"/>
  <c r="K12" i="4"/>
  <c r="J12" i="4"/>
  <c r="K5" i="4"/>
  <c r="J5" i="4"/>
  <c r="AU55" i="18"/>
  <c r="AT55" i="18"/>
  <c r="AU54" i="18"/>
  <c r="AT54" i="18"/>
  <c r="Q55" i="18"/>
  <c r="P55" i="18"/>
  <c r="Q54" i="18"/>
  <c r="P54" i="18"/>
  <c r="K55" i="18"/>
  <c r="J55" i="18"/>
  <c r="K54" i="18"/>
  <c r="J54" i="18"/>
  <c r="P45" i="10" l="1"/>
  <c r="P47" i="10"/>
  <c r="P48" i="10" s="1"/>
  <c r="P51" i="10" s="1"/>
  <c r="P53" i="10" s="1"/>
  <c r="K7" i="10"/>
  <c r="J38" i="10" s="1"/>
  <c r="K38" i="10" l="1"/>
  <c r="J17" i="10"/>
  <c r="K17" i="10"/>
  <c r="J12" i="10"/>
  <c r="H12" i="10"/>
  <c r="I17" i="10"/>
  <c r="I12" i="10"/>
  <c r="H17" i="10"/>
  <c r="J45" i="10" l="1"/>
  <c r="H45" i="10"/>
  <c r="K52" i="10"/>
  <c r="K42" i="10"/>
  <c r="K12" i="10"/>
  <c r="K45" i="10" s="1"/>
  <c r="K47" i="10" s="1"/>
  <c r="K48" i="10" s="1"/>
  <c r="K51" i="10" s="1"/>
  <c r="K53" i="10" s="1"/>
  <c r="I45" i="10"/>
</calcChain>
</file>

<file path=xl/sharedStrings.xml><?xml version="1.0" encoding="utf-8"?>
<sst xmlns="http://schemas.openxmlformats.org/spreadsheetml/2006/main" count="590" uniqueCount="522">
  <si>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</si>
  <si>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</si>
  <si>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</si>
  <si>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</si>
  <si>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</si>
  <si>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</si>
  <si>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</si>
  <si>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</si>
  <si>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</si>
  <si>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</si>
  <si>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</si>
  <si>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</si>
  <si>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</si>
  <si>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</si>
  <si>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</si>
  <si>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</si>
  <si>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</si>
  <si>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</si>
  <si>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</si>
  <si>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</si>
  <si>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</si>
  <si>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</si>
  <si>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</si>
  <si>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</si>
  <si>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</si>
  <si>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</si>
  <si>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</si>
  <si>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</si>
  <si>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</si>
  <si>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</si>
  <si>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</si>
  <si>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</si>
  <si>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</si>
  <si>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</si>
  <si>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</si>
  <si>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</si>
  <si>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</si>
  <si>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</si>
  <si>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</si>
  <si>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</si>
  <si>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</si>
  <si>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</si>
  <si>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</si>
  <si>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</si>
  <si>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</si>
  <si>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</si>
  <si>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</si>
  <si>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</si>
  <si>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</si>
  <si>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</si>
  <si>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</si>
  <si>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</si>
  <si>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</si>
  <si>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</si>
  <si>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</si>
  <si>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</si>
  <si>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</si>
  <si>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</si>
  <si>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</si>
  <si>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</si>
  <si>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</si>
  <si>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</si>
  <si>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</si>
  <si>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</si>
  <si>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</si>
  <si>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</si>
  <si>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</si>
  <si>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</si>
  <si>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</si>
  <si>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</si>
  <si>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</si>
  <si>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</si>
  <si>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</si>
  <si>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</si>
  <si>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</si>
  <si>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</si>
  <si>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</si>
  <si>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</si>
  <si>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</si>
  <si>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</si>
  <si>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</si>
  <si>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</si>
  <si>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</si>
  <si>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</si>
  <si>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</si>
  <si>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</si>
  <si>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</si>
  <si>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</si>
  <si>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</si>
  <si>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</si>
  <si>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</si>
  <si>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</si>
  <si>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</si>
  <si>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</si>
  <si>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</si>
  <si>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</si>
  <si>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</si>
  <si>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</si>
  <si>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</si>
  <si>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</si>
  <si>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</si>
  <si>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</si>
  <si>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</si>
  <si>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</si>
  <si>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</si>
  <si>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</si>
  <si>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</si>
  <si>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</si>
  <si>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</si>
  <si>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</si>
  <si>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</si>
  <si>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</si>
  <si>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</si>
  <si>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</si>
  <si>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</si>
  <si>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</si>
  <si>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</si>
  <si>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</si>
  <si>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</si>
  <si>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</si>
  <si>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</si>
  <si>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</si>
  <si>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</si>
  <si>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</si>
  <si>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</si>
  <si>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</si>
  <si>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</si>
  <si>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</si>
  <si>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</si>
  <si>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</si>
  <si>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</si>
  <si>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</si>
  <si>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</si>
  <si>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</si>
  <si>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</si>
  <si>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</si>
  <si>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</si>
  <si>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</si>
  <si>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</si>
  <si>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</si>
  <si>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</si>
  <si>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</si>
  <si>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</si>
  <si>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</si>
  <si>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</si>
  <si>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</si>
  <si>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</si>
  <si>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</si>
  <si>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</si>
  <si>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</si>
  <si>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</si>
  <si>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</si>
  <si>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</si>
  <si>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</si>
  <si>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</si>
  <si>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</si>
  <si>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</si>
  <si>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</si>
  <si>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</si>
  <si>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</si>
  <si>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</si>
  <si>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</si>
  <si>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</si>
  <si>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</si>
  <si>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</si>
  <si>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</si>
  <si>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</si>
  <si>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</si>
  <si>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</si>
  <si>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</si>
  <si>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</si>
  <si>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</si>
  <si>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</si>
  <si>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</si>
  <si>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</si>
  <si>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</si>
  <si>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</si>
  <si>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</si>
  <si>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</si>
  <si>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</si>
  <si>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</si>
  <si>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</si>
  <si>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</si>
  <si>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</si>
  <si>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</si>
  <si>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</si>
  <si>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</si>
  <si>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</si>
  <si>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</si>
  <si>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</si>
  <si>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</si>
  <si>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</si>
  <si>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</si>
  <si>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</si>
  <si>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</si>
  <si>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</si>
  <si>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</si>
  <si>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</si>
  <si>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</si>
  <si>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</si>
  <si>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</si>
  <si>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</si>
  <si>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</si>
  <si>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</si>
  <si>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</si>
  <si>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</si>
  <si>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</si>
  <si>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</si>
  <si>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</si>
  <si>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</si>
  <si>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</si>
  <si>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</si>
  <si>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</si>
  <si>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</si>
  <si>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</si>
  <si>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</si>
  <si>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</si>
  <si>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</si>
  <si>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</si>
  <si>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</si>
  <si>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</si>
  <si>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</si>
  <si>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</si>
  <si>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</si>
  <si>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</si>
  <si>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</si>
  <si>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</si>
  <si>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</si>
  <si>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</si>
  <si>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</si>
  <si>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</si>
  <si>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</si>
  <si>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</si>
  <si>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</si>
  <si>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</si>
  <si>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</si>
  <si>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</si>
  <si>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</si>
  <si>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</si>
  <si>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</si>
  <si>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</si>
  <si>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</si>
  <si>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</si>
  <si>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</si>
  <si>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</si>
  <si>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</si>
  <si>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</si>
  <si>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</si>
  <si>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</si>
  <si>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</si>
  <si>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</si>
  <si>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</si>
  <si>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</si>
  <si>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</si>
  <si>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</si>
  <si>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</si>
  <si>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</si>
  <si>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</si>
  <si>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</si>
  <si>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</si>
  <si>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</si>
  <si>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</si>
  <si>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</si>
  <si>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</si>
  <si>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</si>
  <si>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</si>
  <si>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</si>
  <si>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</si>
  <si>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</si>
  <si>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</si>
  <si>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</si>
  <si>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</si>
  <si>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</si>
  <si>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</si>
  <si>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</si>
  <si>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</si>
  <si>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</si>
  <si>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</si>
  <si>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</si>
  <si>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</si>
  <si>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</si>
  <si>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</si>
  <si>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</si>
  <si>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</si>
  <si>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</si>
  <si>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</si>
  <si>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</si>
  <si>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</si>
  <si>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</si>
  <si>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</si>
  <si>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</si>
  <si>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</si>
  <si>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</si>
  <si>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</si>
  <si>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</si>
  <si>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</si>
  <si>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</si>
  <si>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</si>
  <si>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</si>
  <si>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</si>
  <si>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</si>
  <si>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</si>
  <si>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</si>
  <si>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</si>
  <si>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</si>
  <si>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</si>
  <si>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</si>
  <si>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</si>
  <si>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</si>
  <si>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</si>
  <si>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</si>
  <si>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</si>
  <si>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</si>
  <si>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</si>
  <si>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</si>
  <si>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</si>
  <si>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</si>
  <si>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</si>
  <si>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</si>
  <si>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</si>
  <si>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</si>
  <si>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</si>
  <si>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</si>
  <si>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</si>
  <si>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</si>
  <si>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</si>
  <si>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</si>
  <si>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</si>
  <si>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</si>
  <si>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</si>
  <si>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</si>
  <si>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</si>
  <si>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</si>
  <si>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</si>
  <si>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</si>
  <si>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</si>
  <si>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</si>
  <si>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</si>
  <si>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</si>
  <si>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</si>
  <si>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</si>
  <si>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</si>
  <si>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</si>
  <si>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</si>
  <si>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</si>
  <si>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</si>
  <si>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</si>
  <si>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</si>
  <si>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</si>
  <si>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</si>
  <si>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</si>
  <si>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</si>
  <si>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</si>
  <si>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</si>
  <si>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</si>
  <si>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</si>
  <si>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</si>
  <si>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</si>
  <si>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</si>
  <si>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</si>
  <si>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</si>
  <si>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</si>
  <si>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</si>
  <si>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</si>
  <si>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</si>
  <si>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</si>
  <si>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</si>
  <si>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</si>
  <si>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</si>
  <si>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</si>
  <si>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</si>
  <si>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</si>
  <si>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</si>
  <si>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</si>
  <si>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</si>
  <si>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</si>
  <si>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</si>
  <si>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</si>
  <si>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</si>
  <si>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</si>
  <si>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</si>
  <si>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</si>
  <si>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</si>
  <si>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</si>
  <si>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</si>
  <si>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</si>
  <si>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</si>
  <si>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</si>
  <si>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</si>
  <si>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</si>
  <si>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</si>
  <si>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</si>
  <si>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</si>
  <si>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</si>
  <si>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</si>
  <si>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</si>
  <si>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</si>
  <si>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</si>
  <si>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</si>
  <si>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</si>
  <si>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</si>
  <si>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</si>
  <si>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</si>
  <si>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</si>
  <si>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</si>
  <si>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</si>
  <si>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</si>
  <si>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</si>
  <si>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</si>
  <si>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</si>
  <si>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</si>
  <si>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</si>
  <si>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</si>
  <si>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</si>
  <si>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</si>
  <si>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</si>
  <si>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</si>
  <si>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</si>
  <si>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</si>
  <si>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</si>
  <si>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</si>
  <si>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</si>
  <si>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</si>
  <si>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</si>
  <si>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</si>
  <si>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</si>
  <si>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</si>
  <si>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</si>
  <si>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</si>
  <si>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</si>
  <si>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</si>
  <si>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</si>
  <si>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</si>
  <si>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</si>
  <si>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</si>
  <si>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</si>
  <si>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</si>
  <si>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</si>
  <si>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</si>
  <si>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</si>
  <si>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</si>
  <si>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</si>
  <si>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</si>
  <si>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</si>
  <si>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</si>
  <si>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</si>
  <si>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</si>
  <si>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</si>
  <si>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</si>
  <si>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</si>
  <si>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</si>
  <si>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</si>
  <si>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</si>
  <si>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</si>
  <si>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</si>
  <si>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</si>
  <si>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</si>
  <si>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</si>
  <si>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</si>
  <si>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</si>
  <si>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</si>
  <si>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</si>
  <si>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</si>
  <si>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</si>
  <si>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</si>
  <si>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</si>
  <si>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</si>
  <si>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</si>
  <si>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</si>
  <si>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</si>
  <si>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</si>
  <si>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</si>
  <si>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</si>
  <si>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</si>
  <si>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</si>
  <si>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</si>
  <si>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</si>
  <si>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</si>
  <si>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</si>
  <si>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</si>
  <si>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</si>
  <si>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</si>
  <si>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</si>
  <si>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</si>
  <si>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</si>
  <si>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</si>
  <si>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</si>
  <si>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</si>
  <si>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</si>
  <si>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</si>
  <si>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</si>
  <si>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</si>
  <si>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</si>
  <si>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</si>
  <si>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</si>
  <si>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</si>
  <si>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GEMCare Health Plan, Inc.</t>
  </si>
  <si>
    <t>GEMCare Health Plan</t>
  </si>
  <si>
    <t>2015</t>
  </si>
  <si>
    <t>4550 California Ave., Ste. 100 Bakersfield, CA 93518</t>
  </si>
  <si>
    <t>203765731</t>
  </si>
  <si>
    <t>536</t>
  </si>
  <si>
    <t>Paid FFS Claims</t>
  </si>
  <si>
    <t>Paid Professional Capitation</t>
  </si>
  <si>
    <t>Paid Rx Claims</t>
  </si>
  <si>
    <t>Paid Institutional Capitation</t>
  </si>
  <si>
    <t>Insured Services</t>
  </si>
  <si>
    <t>Claims are recorded in the period incurred</t>
  </si>
  <si>
    <t>Capitation expense is paid and recorded in the current month</t>
  </si>
  <si>
    <t>Federal Income Taxes</t>
  </si>
  <si>
    <t>PCORI Fees</t>
  </si>
  <si>
    <t>ACA Fees</t>
  </si>
  <si>
    <t>Federal taxes are estimated (adding back non-deductible portion of ACA taxes) at an effective rate of 31.95%</t>
  </si>
  <si>
    <t>Calculated based on rate of $2.08 PMPY for policies renewing prior to 10/1/15, and $2.17 PMPY after</t>
  </si>
  <si>
    <t>Based on amount paid in 2015, allocated between products on a percent of revenue basis</t>
  </si>
  <si>
    <t>State Income Taxes</t>
  </si>
  <si>
    <t>State taxes, California, are estimated (adding back non-deductible portion of ACA taxes) at an effective rate of 8.80%</t>
  </si>
  <si>
    <t>Payments to brokers</t>
  </si>
  <si>
    <t>brokers are compensated on a percent of premium basis, cost is recognized with revenue is recognized</t>
  </si>
  <si>
    <t>All other administrative expenses</t>
  </si>
  <si>
    <t>Overhead costs are allocated on a per member basis between Medicare and Commercial.  Direct Commercial costs are allocated</t>
  </si>
  <si>
    <t>between large and small group on a PMPM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</si>
</sst>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60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California</v>
          </cell>
        </row>
        <row r="15">
          <cell r="C15" t="str">
            <v>No</v>
          </cell>
        </row>
      </sheetData>
      <sheetData sheetId="3">
        <row r="5">
          <cell r="K5">
            <v>9338371</v>
          </cell>
          <cell r="M5">
            <v>0</v>
          </cell>
          <cell r="N5">
            <v>0</v>
          </cell>
          <cell r="Q5">
            <v>1792376</v>
          </cell>
          <cell r="S5">
            <v>0</v>
          </cell>
          <cell r="T5">
            <v>0</v>
          </cell>
        </row>
        <row r="6">
          <cell r="K6">
            <v>0</v>
          </cell>
          <cell r="M6"/>
          <cell r="N6"/>
          <cell r="Q6">
            <v>0</v>
          </cell>
          <cell r="S6"/>
          <cell r="T6"/>
        </row>
        <row r="7">
          <cell r="K7">
            <v>0</v>
          </cell>
          <cell r="M7"/>
          <cell r="N7"/>
          <cell r="Q7">
            <v>0</v>
          </cell>
          <cell r="S7"/>
          <cell r="T7"/>
        </row>
        <row r="12">
          <cell r="K12">
            <v>8458262</v>
          </cell>
          <cell r="M12">
            <v>0</v>
          </cell>
          <cell r="N12">
            <v>0</v>
          </cell>
          <cell r="Q12">
            <v>1691168</v>
          </cell>
          <cell r="S12">
            <v>0</v>
          </cell>
          <cell r="T12">
            <v>0</v>
          </cell>
        </row>
        <row r="22">
          <cell r="K22">
            <v>0</v>
          </cell>
          <cell r="M22">
            <v>0</v>
          </cell>
          <cell r="N22">
            <v>0</v>
          </cell>
          <cell r="Q22">
            <v>0</v>
          </cell>
          <cell r="S22">
            <v>0</v>
          </cell>
          <cell r="T22">
            <v>0</v>
          </cell>
        </row>
        <row r="25">
          <cell r="K25">
            <v>0</v>
          </cell>
          <cell r="M25"/>
          <cell r="N25"/>
          <cell r="Q25">
            <v>0</v>
          </cell>
          <cell r="S25"/>
          <cell r="T25"/>
        </row>
        <row r="26">
          <cell r="K26">
            <v>5898</v>
          </cell>
          <cell r="M26"/>
          <cell r="N26"/>
          <cell r="Q26">
            <v>1074</v>
          </cell>
          <cell r="S26"/>
          <cell r="T26"/>
        </row>
        <row r="27">
          <cell r="K27">
            <v>537495</v>
          </cell>
          <cell r="M27"/>
          <cell r="N27"/>
          <cell r="Q27">
            <v>97889</v>
          </cell>
          <cell r="S27"/>
          <cell r="T27"/>
        </row>
        <row r="28">
          <cell r="K28">
            <v>0</v>
          </cell>
          <cell r="M28"/>
          <cell r="N28"/>
          <cell r="Q28">
            <v>0</v>
          </cell>
          <cell r="S28"/>
          <cell r="T28"/>
        </row>
        <row r="30">
          <cell r="K30">
            <v>254</v>
          </cell>
          <cell r="M30"/>
          <cell r="N30"/>
          <cell r="Q30">
            <v>35</v>
          </cell>
          <cell r="S30"/>
          <cell r="T30"/>
        </row>
        <row r="31">
          <cell r="K31">
            <v>0</v>
          </cell>
          <cell r="M31"/>
          <cell r="N31"/>
          <cell r="Q31">
            <v>0</v>
          </cell>
          <cell r="S31"/>
          <cell r="T31"/>
        </row>
        <row r="32">
          <cell r="K32">
            <v>0</v>
          </cell>
          <cell r="M32"/>
          <cell r="N32"/>
          <cell r="Q32">
            <v>0</v>
          </cell>
          <cell r="S32"/>
          <cell r="T32"/>
        </row>
        <row r="34">
          <cell r="K34">
            <v>155176</v>
          </cell>
          <cell r="M34"/>
          <cell r="N34"/>
          <cell r="Q34">
            <v>28261</v>
          </cell>
          <cell r="S34"/>
          <cell r="T34"/>
        </row>
        <row r="35">
          <cell r="K35">
            <v>2621</v>
          </cell>
          <cell r="M35"/>
          <cell r="N35"/>
          <cell r="Q35">
            <v>477</v>
          </cell>
          <cell r="S35"/>
          <cell r="T35"/>
        </row>
        <row r="37">
          <cell r="K37">
            <v>0</v>
          </cell>
          <cell r="M37"/>
          <cell r="N37"/>
          <cell r="Q37">
            <v>0</v>
          </cell>
          <cell r="S37"/>
          <cell r="T37"/>
        </row>
        <row r="38">
          <cell r="K38">
            <v>0</v>
          </cell>
          <cell r="M38"/>
          <cell r="N38"/>
          <cell r="Q38">
            <v>0</v>
          </cell>
          <cell r="S38"/>
          <cell r="T38"/>
        </row>
        <row r="39">
          <cell r="K39">
            <v>0</v>
          </cell>
          <cell r="M39"/>
          <cell r="N39"/>
          <cell r="Q39">
            <v>0</v>
          </cell>
          <cell r="S39"/>
          <cell r="T39"/>
        </row>
        <row r="40">
          <cell r="K40">
            <v>0</v>
          </cell>
          <cell r="M40"/>
          <cell r="N40"/>
          <cell r="Q40">
            <v>0</v>
          </cell>
          <cell r="S40"/>
          <cell r="T40"/>
        </row>
        <row r="41">
          <cell r="K41">
            <v>0</v>
          </cell>
          <cell r="M41"/>
          <cell r="N41"/>
          <cell r="Q41">
            <v>0</v>
          </cell>
          <cell r="S41"/>
          <cell r="T41"/>
        </row>
        <row r="42">
          <cell r="K42">
            <v>0</v>
          </cell>
          <cell r="M42"/>
          <cell r="N42"/>
          <cell r="Q42">
            <v>0</v>
          </cell>
          <cell r="S42"/>
          <cell r="T42"/>
        </row>
        <row r="56">
          <cell r="K56">
            <v>0</v>
          </cell>
          <cell r="M56"/>
          <cell r="N56"/>
          <cell r="Q56">
            <v>0</v>
          </cell>
          <cell r="S56"/>
          <cell r="T56"/>
        </row>
        <row r="59">
          <cell r="E59"/>
          <cell r="G59"/>
          <cell r="H59"/>
          <cell r="K59">
            <v>32764</v>
          </cell>
          <cell r="M59"/>
          <cell r="N59"/>
          <cell r="Q59">
            <v>5967</v>
          </cell>
          <cell r="S59"/>
          <cell r="T59"/>
        </row>
      </sheetData>
      <sheetData sheetId="4">
        <row r="5">
          <cell r="J5">
            <v>9235166</v>
          </cell>
          <cell r="K5">
            <v>9235166</v>
          </cell>
          <cell r="P5">
            <v>1792376</v>
          </cell>
          <cell r="Q5">
            <v>1792376</v>
          </cell>
          <cell r="AT5">
            <v>36450</v>
          </cell>
          <cell r="AU5">
            <v>87223859</v>
          </cell>
        </row>
        <row r="6">
          <cell r="J6">
            <v>103205</v>
          </cell>
          <cell r="K6">
            <v>103205</v>
          </cell>
          <cell r="P6">
            <v>0</v>
          </cell>
          <cell r="Q6">
            <v>0</v>
          </cell>
          <cell r="AT6">
            <v>0</v>
          </cell>
          <cell r="AU6">
            <v>0</v>
          </cell>
        </row>
        <row r="7">
          <cell r="J7">
            <v>0</v>
          </cell>
          <cell r="K7">
            <v>0</v>
          </cell>
          <cell r="P7">
            <v>0</v>
          </cell>
          <cell r="Q7">
            <v>0</v>
          </cell>
          <cell r="AT7">
            <v>0</v>
          </cell>
          <cell r="AU7">
            <v>0</v>
          </cell>
        </row>
        <row r="13">
          <cell r="J13">
            <v>0</v>
          </cell>
          <cell r="K13">
            <v>0</v>
          </cell>
          <cell r="P13">
            <v>0</v>
          </cell>
          <cell r="Q13">
            <v>0</v>
          </cell>
          <cell r="AT13">
            <v>0</v>
          </cell>
          <cell r="AU13">
            <v>0</v>
          </cell>
        </row>
        <row r="14">
          <cell r="J14">
            <v>0</v>
          </cell>
          <cell r="K14">
            <v>0</v>
          </cell>
          <cell r="P14">
            <v>0</v>
          </cell>
          <cell r="Q14">
            <v>0</v>
          </cell>
          <cell r="AT14">
            <v>0</v>
          </cell>
          <cell r="AU14">
            <v>0</v>
          </cell>
        </row>
        <row r="16">
          <cell r="J16">
            <v>0</v>
          </cell>
          <cell r="K16">
            <v>0</v>
          </cell>
          <cell r="M16"/>
          <cell r="N16"/>
        </row>
        <row r="17">
          <cell r="J17">
            <v>0</v>
          </cell>
          <cell r="K17">
            <v>0</v>
          </cell>
          <cell r="M17"/>
          <cell r="N17"/>
        </row>
        <row r="54">
          <cell r="J54">
            <v>8458262</v>
          </cell>
          <cell r="K54">
            <v>8458262</v>
          </cell>
          <cell r="P54">
            <v>1691168</v>
          </cell>
          <cell r="Q54">
            <v>1691168</v>
          </cell>
          <cell r="AT54">
            <v>37771</v>
          </cell>
          <cell r="AU54">
            <v>81879434</v>
          </cell>
        </row>
        <row r="55">
          <cell r="J55">
            <v>0</v>
          </cell>
          <cell r="K55">
            <v>0</v>
          </cell>
          <cell r="P55">
            <v>0</v>
          </cell>
          <cell r="Q55">
            <v>0</v>
          </cell>
          <cell r="AT55">
            <v>0</v>
          </cell>
          <cell r="AU55">
            <v>0</v>
          </cell>
        </row>
      </sheetData>
      <sheetData sheetId="5">
        <row r="53">
          <cell r="K53">
            <v>0</v>
          </cell>
          <cell r="P53">
            <v>0</v>
          </cell>
        </row>
      </sheetData>
      <sheetData sheetId="6"/>
      <sheetData sheetId="7"/>
      <sheetData sheetId="8"/>
      <sheetData sheetId="9">
        <row r="17">
          <cell r="A17">
            <v>0</v>
          </cell>
          <cell r="B17">
            <v>1</v>
          </cell>
        </row>
        <row r="18">
          <cell r="A18">
            <v>2500</v>
          </cell>
          <cell r="B18">
            <v>1.1639999999999999</v>
          </cell>
        </row>
        <row r="19">
          <cell r="A19">
            <v>5000</v>
          </cell>
          <cell r="B19">
            <v>1.4019999999999999</v>
          </cell>
        </row>
        <row r="20">
          <cell r="A20">
            <v>10000</v>
          </cell>
          <cell r="B20">
            <v>1.736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500</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497</v>
      </c>
    </row>
    <row r="11" spans="1:6" x14ac:dyDescent="0.2">
      <c r="B11" s="147" t="s">
        <v>349</v>
      </c>
      <c r="C11" s="480"/>
    </row>
    <row r="12" spans="1:6" x14ac:dyDescent="0.2">
      <c r="B12" s="147" t="s">
        <v>35</v>
      </c>
      <c r="C12" s="480" t="s">
        <v>149</v>
      </c>
    </row>
    <row r="13" spans="1:6" x14ac:dyDescent="0.2">
      <c r="B13" s="147" t="s">
        <v>50</v>
      </c>
      <c r="C13" s="480" t="s">
        <v>139</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N9" activePane="bottomRight" state="frozen"/>
      <selection activeCell="B1" sqref="B1"/>
      <selection pane="topRight" activeCell="B1" sqref="B1"/>
      <selection pane="bottomLeft" activeCell="B1" sqref="B1"/>
      <selection pane="bottomRight" activeCell="P27" sqref="P2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f>SUM('[1]Pt 2 Premium and Claims'!J$5,'[1]Pt 2 Premium and Claims'!J$6,-'[1]Pt 2 Premium and Claims'!J$7,-'[1]Pt 2 Premium and Claims'!J$13,'[1]Pt 2 Premium and Claims'!J$14,'[1]Pt 2 Premium and Claims'!J$16:'[1]Pt 2 Premium and Claims'!J$17)</f>
        <v>9338371</v>
      </c>
      <c r="K5" s="213">
        <f>SUM('[1]Pt 2 Premium and Claims'!K$5,'[1]Pt 2 Premium and Claims'!K$6,-'[1]Pt 2 Premium and Claims'!K$7,-'[1]Pt 2 Premium and Claims'!K$13,'[1]Pt 2 Premium and Claims'!K$14,'[1]Pt 2 Premium and Claims'!K$16:'[1]Pt 2 Premium and Claims'!K$17)</f>
        <v>9338371</v>
      </c>
      <c r="L5" s="213"/>
      <c r="M5" s="213"/>
      <c r="N5" s="213"/>
      <c r="O5" s="212"/>
      <c r="P5" s="212">
        <f>SUM('[1]Pt 2 Premium and Claims'!P$5,'[1]Pt 2 Premium and Claims'!P$6,-'[1]Pt 2 Premium and Claims'!P$7,-'[1]Pt 2 Premium and Claims'!P$13,'[1]Pt 2 Premium and Claims'!P$14)</f>
        <v>1792376</v>
      </c>
      <c r="Q5" s="213">
        <f>SUM('[1]Pt 2 Premium and Claims'!Q$5,'[1]Pt 2 Premium and Claims'!Q$6,-'[1]Pt 2 Premium and Claims'!Q$7,-'[1]Pt 2 Premium and Claims'!Q$13,'[1]Pt 2 Premium and Claims'!Q$14)</f>
        <v>1792376</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SUM('[1]Pt 2 Premium and Claims'!AT$5,'[1]Pt 2 Premium and Claims'!AT$6,-'[1]Pt 2 Premium and Claims'!AT$7,-'[1]Pt 2 Premium and Claims'!AT$13,'[1]Pt 2 Premium and Claims'!AT$14)</f>
        <v>36450</v>
      </c>
      <c r="AU5" s="214">
        <f>SUM('[1]Pt 2 Premium and Claims'!AU$5,'[1]Pt 2 Premium and Claims'!AU$6,-'[1]Pt 2 Premium and Claims'!AU$7,-'[1]Pt 2 Premium and Claims'!AU$13,'[1]Pt 2 Premium and Claims'!AU$14)</f>
        <v>87223859</v>
      </c>
      <c r="AV5" s="215"/>
      <c r="AW5" s="296"/>
    </row>
    <row r="6" spans="1:49" x14ac:dyDescent="0.2">
      <c r="B6" s="239" t="s">
        <v>223</v>
      </c>
      <c r="C6" s="203" t="s">
        <v>12</v>
      </c>
      <c r="D6" s="216"/>
      <c r="E6" s="217"/>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v>0</v>
      </c>
      <c r="AV6" s="290"/>
      <c r="AW6" s="297"/>
    </row>
    <row r="7" spans="1:49" x14ac:dyDescent="0.2">
      <c r="B7" s="239" t="s">
        <v>224</v>
      </c>
      <c r="C7" s="203" t="s">
        <v>13</v>
      </c>
      <c r="D7" s="216"/>
      <c r="E7" s="217"/>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v>0</v>
      </c>
      <c r="AV7" s="290"/>
      <c r="AW7" s="297"/>
    </row>
    <row r="8" spans="1:49" ht="25.5" x14ac:dyDescent="0.2">
      <c r="B8" s="239" t="s">
        <v>225</v>
      </c>
      <c r="C8" s="203" t="s">
        <v>59</v>
      </c>
      <c r="D8" s="216"/>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v>0</v>
      </c>
      <c r="AV8" s="290"/>
      <c r="AW8" s="297"/>
    </row>
    <row r="9" spans="1:49" x14ac:dyDescent="0.2">
      <c r="B9" s="239" t="s">
        <v>226</v>
      </c>
      <c r="C9" s="203" t="s">
        <v>60</v>
      </c>
      <c r="D9" s="216"/>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v>0</v>
      </c>
      <c r="AV9" s="290"/>
      <c r="AW9" s="297"/>
    </row>
    <row r="10" spans="1:49" x14ac:dyDescent="0.2">
      <c r="B10" s="239" t="s">
        <v>227</v>
      </c>
      <c r="C10" s="203" t="s">
        <v>52</v>
      </c>
      <c r="D10" s="216"/>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f>'[1]Pt 2 Premium and Claims'!J$54</f>
        <v>8458262</v>
      </c>
      <c r="K12" s="213">
        <f>'[1]Pt 2 Premium and Claims'!K$54</f>
        <v>8458262</v>
      </c>
      <c r="L12" s="213"/>
      <c r="M12" s="213"/>
      <c r="N12" s="213"/>
      <c r="O12" s="212"/>
      <c r="P12" s="212">
        <f>'[1]Pt 2 Premium and Claims'!P$54</f>
        <v>1691168</v>
      </c>
      <c r="Q12" s="213">
        <f>'[1]Pt 2 Premium and Claims'!Q$54</f>
        <v>1691168</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'[1]Pt 2 Premium and Claims'!AT$54</f>
        <v>37771</v>
      </c>
      <c r="AU12" s="214">
        <f>'[1]Pt 2 Premium and Claims'!AU$54</f>
        <v>81879434</v>
      </c>
      <c r="AV12" s="291"/>
      <c r="AW12" s="296"/>
    </row>
    <row r="13" spans="1:49" ht="25.5" x14ac:dyDescent="0.2">
      <c r="B13" s="239" t="s">
        <v>230</v>
      </c>
      <c r="C13" s="203" t="s">
        <v>37</v>
      </c>
      <c r="D13" s="216"/>
      <c r="E13" s="217"/>
      <c r="F13" s="217"/>
      <c r="G13" s="268"/>
      <c r="H13" s="269"/>
      <c r="I13" s="216"/>
      <c r="J13" s="216">
        <v>1909624</v>
      </c>
      <c r="K13" s="217">
        <v>1909624</v>
      </c>
      <c r="L13" s="217"/>
      <c r="M13" s="268"/>
      <c r="N13" s="269"/>
      <c r="O13" s="216"/>
      <c r="P13" s="216">
        <v>400085</v>
      </c>
      <c r="Q13" s="217">
        <v>400085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31699</v>
      </c>
      <c r="AU13" s="220">
        <v>13485330</v>
      </c>
      <c r="AV13" s="290"/>
      <c r="AW13" s="297"/>
    </row>
    <row r="14" spans="1:49" ht="25.5" x14ac:dyDescent="0.2">
      <c r="B14" s="239" t="s">
        <v>231</v>
      </c>
      <c r="C14" s="203" t="s">
        <v>6</v>
      </c>
      <c r="D14" s="216"/>
      <c r="E14" s="217"/>
      <c r="F14" s="217"/>
      <c r="G14" s="267"/>
      <c r="H14" s="270"/>
      <c r="I14" s="216"/>
      <c r="J14" s="216">
        <v>103336</v>
      </c>
      <c r="K14" s="217">
        <v>103336</v>
      </c>
      <c r="L14" s="217"/>
      <c r="M14" s="267"/>
      <c r="N14" s="270"/>
      <c r="O14" s="216"/>
      <c r="P14" s="216">
        <v>21650</v>
      </c>
      <c r="Q14" s="217">
        <v>21650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v>738601</v>
      </c>
      <c r="AV14" s="290"/>
      <c r="AW14" s="297"/>
    </row>
    <row r="15" spans="1:49" ht="38.25" x14ac:dyDescent="0.2">
      <c r="B15" s="239" t="s">
        <v>232</v>
      </c>
      <c r="C15" s="203" t="s">
        <v>7</v>
      </c>
      <c r="D15" s="216"/>
      <c r="E15" s="217"/>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v>0</v>
      </c>
      <c r="AV15" s="290"/>
      <c r="AW15" s="297"/>
    </row>
    <row r="16" spans="1:49" ht="25.5" x14ac:dyDescent="0.2">
      <c r="B16" s="239" t="s">
        <v>233</v>
      </c>
      <c r="C16" s="203" t="s">
        <v>61</v>
      </c>
      <c r="D16" s="216"/>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v>0</v>
      </c>
      <c r="AV16" s="290"/>
      <c r="AW16" s="297"/>
    </row>
    <row r="17" spans="1:49" x14ac:dyDescent="0.2">
      <c r="B17" s="239" t="s">
        <v>234</v>
      </c>
      <c r="C17" s="203" t="s">
        <v>62</v>
      </c>
      <c r="D17" s="216"/>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v>0</v>
      </c>
      <c r="AV17" s="290"/>
      <c r="AW17" s="297"/>
    </row>
    <row r="18" spans="1:49" x14ac:dyDescent="0.2">
      <c r="B18" s="239" t="s">
        <v>235</v>
      </c>
      <c r="C18" s="203" t="s">
        <v>63</v>
      </c>
      <c r="D18" s="216"/>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v>0</v>
      </c>
      <c r="AV18" s="290"/>
      <c r="AW18" s="297"/>
    </row>
    <row r="19" spans="1:49" x14ac:dyDescent="0.2">
      <c r="B19" s="239" t="s">
        <v>236</v>
      </c>
      <c r="C19" s="203" t="s">
        <v>64</v>
      </c>
      <c r="D19" s="216"/>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v>0</v>
      </c>
      <c r="AV19" s="290"/>
      <c r="AW19" s="297"/>
    </row>
    <row r="20" spans="1:49" x14ac:dyDescent="0.2">
      <c r="B20" s="239" t="s">
        <v>237</v>
      </c>
      <c r="C20" s="203" t="s">
        <v>65</v>
      </c>
      <c r="D20" s="216"/>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v>0</v>
      </c>
      <c r="AV20" s="290"/>
      <c r="AW20" s="297"/>
    </row>
    <row r="21" spans="1:49" x14ac:dyDescent="0.2">
      <c r="B21" s="239" t="s">
        <v>238</v>
      </c>
      <c r="C21" s="203" t="s">
        <v>66</v>
      </c>
      <c r="D21" s="216"/>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v>0</v>
      </c>
      <c r="AV21" s="290"/>
      <c r="AW21" s="297"/>
    </row>
    <row r="22" spans="1:49" ht="25.5" x14ac:dyDescent="0.2">
      <c r="B22" s="239" t="s">
        <v>492</v>
      </c>
      <c r="C22" s="203" t="s">
        <v>28</v>
      </c>
      <c r="D22" s="221"/>
      <c r="E22" s="222"/>
      <c r="F22" s="222"/>
      <c r="G22" s="222"/>
      <c r="H22" s="222"/>
      <c r="I22" s="221"/>
      <c r="J22" s="221">
        <f>'[1]Pt 2 Premium and Claims'!J$55</f>
        <v>0</v>
      </c>
      <c r="K22" s="222">
        <f>'[1]Pt 2 Premium and Claims'!K$55</f>
        <v>0</v>
      </c>
      <c r="L22" s="222"/>
      <c r="M22" s="222"/>
      <c r="N22" s="222"/>
      <c r="O22" s="221"/>
      <c r="P22" s="221">
        <f>'[1]Pt 2 Premium and Claims'!P$55</f>
        <v>0</v>
      </c>
      <c r="Q22" s="222">
        <f>'[1]Pt 2 Premium and Claims'!Q$55</f>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'[1]Pt 2 Premium and Claims'!AT$55</f>
        <v>0</v>
      </c>
      <c r="AU22" s="223">
        <f>'[1]Pt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v>0</v>
      </c>
      <c r="AV25" s="220"/>
      <c r="AW25" s="297"/>
    </row>
    <row r="26" spans="1:49" s="5" customFormat="1" x14ac:dyDescent="0.2">
      <c r="A26" s="35"/>
      <c r="B26" s="242" t="s">
        <v>242</v>
      </c>
      <c r="C26" s="203"/>
      <c r="D26" s="216"/>
      <c r="E26" s="217"/>
      <c r="F26" s="217"/>
      <c r="G26" s="217"/>
      <c r="H26" s="217"/>
      <c r="I26" s="216"/>
      <c r="J26" s="216">
        <v>5898</v>
      </c>
      <c r="K26" s="217">
        <v>5898</v>
      </c>
      <c r="L26" s="217"/>
      <c r="M26" s="217"/>
      <c r="N26" s="217"/>
      <c r="O26" s="216"/>
      <c r="P26" s="216">
        <v>1074</v>
      </c>
      <c r="Q26" s="217">
        <v>1074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24</v>
      </c>
      <c r="AU26" s="220">
        <v>0</v>
      </c>
      <c r="AV26" s="220"/>
      <c r="AW26" s="297"/>
    </row>
    <row r="27" spans="1:49" s="5" customFormat="1" x14ac:dyDescent="0.2">
      <c r="B27" s="242" t="s">
        <v>243</v>
      </c>
      <c r="C27" s="203"/>
      <c r="D27" s="216"/>
      <c r="E27" s="217"/>
      <c r="F27" s="217"/>
      <c r="G27" s="217"/>
      <c r="H27" s="217"/>
      <c r="I27" s="216"/>
      <c r="J27" s="216">
        <v>537495</v>
      </c>
      <c r="K27" s="217">
        <v>537495</v>
      </c>
      <c r="L27" s="217"/>
      <c r="M27" s="217"/>
      <c r="N27" s="217"/>
      <c r="O27" s="216"/>
      <c r="P27" s="216">
        <v>97889</v>
      </c>
      <c r="Q27" s="217">
        <v>97889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2231</v>
      </c>
      <c r="AU27" s="220">
        <v>1337947</v>
      </c>
      <c r="AV27" s="293"/>
      <c r="AW27" s="297"/>
    </row>
    <row r="28" spans="1:49" s="5" customFormat="1" x14ac:dyDescent="0.2">
      <c r="A28" s="35"/>
      <c r="B28" s="242" t="s">
        <v>244</v>
      </c>
      <c r="C28" s="203"/>
      <c r="D28" s="216"/>
      <c r="E28" s="217"/>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254</v>
      </c>
      <c r="K30" s="217">
        <v>254</v>
      </c>
      <c r="L30" s="217"/>
      <c r="M30" s="217"/>
      <c r="N30" s="217"/>
      <c r="O30" s="216"/>
      <c r="P30" s="216">
        <v>35</v>
      </c>
      <c r="Q30" s="217">
        <v>35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v>
      </c>
      <c r="AU30" s="220">
        <v>507</v>
      </c>
      <c r="AV30" s="220"/>
      <c r="AW30" s="297"/>
    </row>
    <row r="31" spans="1:49" x14ac:dyDescent="0.2">
      <c r="B31" s="242" t="s">
        <v>247</v>
      </c>
      <c r="C31" s="203"/>
      <c r="D31" s="216"/>
      <c r="E31" s="217"/>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v>0</v>
      </c>
      <c r="AV31" s="220"/>
      <c r="AW31" s="297"/>
    </row>
    <row r="32" spans="1:49" ht="13.9" customHeight="1" x14ac:dyDescent="0.2">
      <c r="B32" s="242" t="s">
        <v>248</v>
      </c>
      <c r="C32" s="203" t="s">
        <v>82</v>
      </c>
      <c r="D32" s="216"/>
      <c r="E32" s="217"/>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155176</v>
      </c>
      <c r="K34" s="217">
        <v>155176</v>
      </c>
      <c r="L34" s="217"/>
      <c r="M34" s="217"/>
      <c r="N34" s="217"/>
      <c r="O34" s="216"/>
      <c r="P34" s="216">
        <v>28261</v>
      </c>
      <c r="Q34" s="217">
        <v>28261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644</v>
      </c>
      <c r="AU34" s="220">
        <v>0</v>
      </c>
      <c r="AV34" s="220"/>
      <c r="AW34" s="297"/>
    </row>
    <row r="35" spans="1:49" x14ac:dyDescent="0.2">
      <c r="B35" s="242" t="s">
        <v>251</v>
      </c>
      <c r="C35" s="203"/>
      <c r="D35" s="216"/>
      <c r="E35" s="217"/>
      <c r="F35" s="217"/>
      <c r="G35" s="217"/>
      <c r="H35" s="217"/>
      <c r="I35" s="216"/>
      <c r="J35" s="216">
        <v>2621</v>
      </c>
      <c r="K35" s="217">
        <v>2621</v>
      </c>
      <c r="L35" s="217"/>
      <c r="M35" s="217"/>
      <c r="N35" s="217"/>
      <c r="O35" s="216"/>
      <c r="P35" s="216">
        <v>477</v>
      </c>
      <c r="Q35" s="217">
        <v>477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v>0</v>
      </c>
      <c r="AV37" s="226"/>
      <c r="AW37" s="296"/>
    </row>
    <row r="38" spans="1:49" x14ac:dyDescent="0.2">
      <c r="B38" s="239" t="s">
        <v>254</v>
      </c>
      <c r="C38" s="203" t="s">
        <v>16</v>
      </c>
      <c r="D38" s="216"/>
      <c r="E38" s="217"/>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v>0</v>
      </c>
      <c r="AV38" s="220"/>
      <c r="AW38" s="297"/>
    </row>
    <row r="39" spans="1:49" x14ac:dyDescent="0.2">
      <c r="B39" s="242" t="s">
        <v>255</v>
      </c>
      <c r="C39" s="203" t="s">
        <v>17</v>
      </c>
      <c r="D39" s="216"/>
      <c r="E39" s="217"/>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v>0</v>
      </c>
      <c r="AV39" s="220"/>
      <c r="AW39" s="297"/>
    </row>
    <row r="40" spans="1:49" x14ac:dyDescent="0.2">
      <c r="B40" s="242" t="s">
        <v>256</v>
      </c>
      <c r="C40" s="203" t="s">
        <v>38</v>
      </c>
      <c r="D40" s="216"/>
      <c r="E40" s="217"/>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v>0</v>
      </c>
      <c r="AV40" s="220"/>
      <c r="AW40" s="297"/>
    </row>
    <row r="41" spans="1:49" s="5" customFormat="1" ht="25.5" x14ac:dyDescent="0.2">
      <c r="A41" s="35"/>
      <c r="B41" s="242" t="s">
        <v>257</v>
      </c>
      <c r="C41" s="203" t="s">
        <v>129</v>
      </c>
      <c r="D41" s="216"/>
      <c r="E41" s="217"/>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v>0</v>
      </c>
      <c r="AV44" s="226"/>
      <c r="AW44" s="296"/>
    </row>
    <row r="45" spans="1:49" x14ac:dyDescent="0.2">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v>0</v>
      </c>
      <c r="AV45" s="220"/>
      <c r="AW45" s="297"/>
    </row>
    <row r="46" spans="1:49" x14ac:dyDescent="0.2">
      <c r="B46" s="245" t="s">
        <v>262</v>
      </c>
      <c r="C46" s="203" t="s">
        <v>20</v>
      </c>
      <c r="D46" s="216"/>
      <c r="E46" s="217"/>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v>0</v>
      </c>
      <c r="AV46" s="220"/>
      <c r="AW46" s="297"/>
    </row>
    <row r="47" spans="1:49" x14ac:dyDescent="0.2">
      <c r="B47" s="245" t="s">
        <v>263</v>
      </c>
      <c r="C47" s="203" t="s">
        <v>21</v>
      </c>
      <c r="D47" s="216"/>
      <c r="E47" s="217"/>
      <c r="F47" s="217"/>
      <c r="G47" s="217"/>
      <c r="H47" s="217"/>
      <c r="I47" s="216"/>
      <c r="J47" s="216">
        <v>630340</v>
      </c>
      <c r="K47" s="217">
        <v>630340</v>
      </c>
      <c r="L47" s="217"/>
      <c r="M47" s="217"/>
      <c r="N47" s="217"/>
      <c r="O47" s="216"/>
      <c r="P47" s="216">
        <v>73776</v>
      </c>
      <c r="Q47" s="217">
        <v>73776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1823</v>
      </c>
      <c r="AU47" s="220">
        <v>297987</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v>0</v>
      </c>
      <c r="AV49" s="220"/>
      <c r="AW49" s="297"/>
    </row>
    <row r="50" spans="2:49" ht="25.5" x14ac:dyDescent="0.2">
      <c r="B50" s="239" t="s">
        <v>265</v>
      </c>
      <c r="C50" s="203"/>
      <c r="D50" s="216"/>
      <c r="E50" s="217"/>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v>0</v>
      </c>
      <c r="AV50" s="220"/>
      <c r="AW50" s="297"/>
    </row>
    <row r="51" spans="2:49" x14ac:dyDescent="0.2">
      <c r="B51" s="239" t="s">
        <v>266</v>
      </c>
      <c r="C51" s="203"/>
      <c r="D51" s="216"/>
      <c r="E51" s="217"/>
      <c r="F51" s="217"/>
      <c r="G51" s="217"/>
      <c r="H51" s="217"/>
      <c r="I51" s="216"/>
      <c r="J51" s="216">
        <v>1475849</v>
      </c>
      <c r="K51" s="217">
        <v>1475849</v>
      </c>
      <c r="L51" s="217"/>
      <c r="M51" s="217"/>
      <c r="N51" s="217"/>
      <c r="O51" s="216"/>
      <c r="P51" s="216">
        <v>164359</v>
      </c>
      <c r="Q51" s="217">
        <v>164359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23078</v>
      </c>
      <c r="AU51" s="220">
        <v>7570872</v>
      </c>
      <c r="AV51" s="220"/>
      <c r="AW51" s="297"/>
    </row>
    <row r="52" spans="2:49" ht="25.5" x14ac:dyDescent="0.2">
      <c r="B52" s="239" t="s">
        <v>267</v>
      </c>
      <c r="C52" s="203" t="s">
        <v>89</v>
      </c>
      <c r="D52" s="216"/>
      <c r="E52" s="217"/>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v>0</v>
      </c>
      <c r="AV52" s="220"/>
      <c r="AW52" s="297"/>
    </row>
    <row r="53" spans="2:49" ht="25.5" x14ac:dyDescent="0.2">
      <c r="B53" s="239" t="s">
        <v>268</v>
      </c>
      <c r="C53" s="203" t="s">
        <v>88</v>
      </c>
      <c r="D53" s="216"/>
      <c r="E53" s="217"/>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v>8037</v>
      </c>
      <c r="AV56" s="230"/>
      <c r="AW56" s="288"/>
    </row>
    <row r="57" spans="2:49" x14ac:dyDescent="0.2">
      <c r="B57" s="245" t="s">
        <v>272</v>
      </c>
      <c r="C57" s="203" t="s">
        <v>25</v>
      </c>
      <c r="D57" s="231"/>
      <c r="E57" s="232"/>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v>8037</v>
      </c>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v>1</v>
      </c>
      <c r="AV58" s="233"/>
      <c r="AW58" s="289"/>
    </row>
    <row r="59" spans="2:49" x14ac:dyDescent="0.2">
      <c r="B59" s="245" t="s">
        <v>274</v>
      </c>
      <c r="C59" s="203" t="s">
        <v>27</v>
      </c>
      <c r="D59" s="231"/>
      <c r="E59" s="232"/>
      <c r="F59" s="232"/>
      <c r="G59" s="232"/>
      <c r="H59" s="232"/>
      <c r="I59" s="231"/>
      <c r="J59" s="231">
        <v>32764</v>
      </c>
      <c r="K59" s="232">
        <v>32764</v>
      </c>
      <c r="L59" s="232"/>
      <c r="M59" s="232"/>
      <c r="N59" s="232"/>
      <c r="O59" s="231"/>
      <c r="P59" s="231">
        <v>5967</v>
      </c>
      <c r="Q59" s="232">
        <v>5967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136</v>
      </c>
      <c r="AU59" s="233">
        <v>97447</v>
      </c>
      <c r="AV59" s="233"/>
      <c r="AW59" s="289"/>
    </row>
    <row r="60" spans="2:49" x14ac:dyDescent="0.2">
      <c r="B60" s="245" t="s">
        <v>275</v>
      </c>
      <c r="C60" s="203"/>
      <c r="D60" s="234"/>
      <c r="E60" s="235"/>
      <c r="F60" s="235"/>
      <c r="G60" s="235"/>
      <c r="H60" s="235"/>
      <c r="I60" s="234"/>
      <c r="J60" s="234">
        <f t="shared" ref="J60:K60" si="0">J$59/12</f>
        <v>2730.3333333333335</v>
      </c>
      <c r="K60" s="235">
        <f t="shared" si="0"/>
        <v>2730.3333333333335</v>
      </c>
      <c r="L60" s="235"/>
      <c r="M60" s="235"/>
      <c r="N60" s="235"/>
      <c r="O60" s="234"/>
      <c r="P60" s="234">
        <f t="shared" ref="P60:Q60" si="1">P$59/12</f>
        <v>497.25</v>
      </c>
      <c r="Q60" s="235">
        <f t="shared" si="1"/>
        <v>497.25</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 t="shared" ref="AT60:AU60" si="2">AT$59/12</f>
        <v>11.333333333333334</v>
      </c>
      <c r="AU60" s="236">
        <f t="shared" si="2"/>
        <v>8120.583333333333</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35794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2" activePane="bottomRight" state="frozen"/>
      <selection activeCell="B1" sqref="B1"/>
      <selection pane="topRight" activeCell="B1" sqref="B1"/>
      <selection pane="bottomLeft" activeCell="B1" sqref="B1"/>
      <selection pane="bottomRight" activeCell="AP57" sqref="AP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9235166</v>
      </c>
      <c r="K5" s="326">
        <v>9235166</v>
      </c>
      <c r="L5" s="326"/>
      <c r="M5" s="326"/>
      <c r="N5" s="326"/>
      <c r="O5" s="325"/>
      <c r="P5" s="325">
        <v>1792376</v>
      </c>
      <c r="Q5" s="326">
        <v>1792376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36450</v>
      </c>
      <c r="AU5" s="327">
        <v>87223859</v>
      </c>
      <c r="AV5" s="369"/>
      <c r="AW5" s="373"/>
    </row>
    <row r="6" spans="2:49" x14ac:dyDescent="0.2">
      <c r="B6" s="343" t="s">
        <v>278</v>
      </c>
      <c r="C6" s="331" t="s">
        <v>8</v>
      </c>
      <c r="D6" s="318"/>
      <c r="E6" s="319"/>
      <c r="F6" s="319"/>
      <c r="G6" s="320"/>
      <c r="H6" s="320"/>
      <c r="I6" s="318"/>
      <c r="J6" s="318">
        <v>103205</v>
      </c>
      <c r="K6" s="319">
        <v>103205</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v>0</v>
      </c>
      <c r="AV6" s="368"/>
      <c r="AW6" s="374"/>
    </row>
    <row r="7" spans="2:49" x14ac:dyDescent="0.2">
      <c r="B7" s="343" t="s">
        <v>279</v>
      </c>
      <c r="C7" s="331" t="s">
        <v>9</v>
      </c>
      <c r="D7" s="318"/>
      <c r="E7" s="319"/>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v>0</v>
      </c>
      <c r="AV9" s="368"/>
      <c r="AW9" s="374"/>
    </row>
    <row r="10" spans="2:49" ht="25.5" x14ac:dyDescent="0.2">
      <c r="B10" s="345" t="s">
        <v>83</v>
      </c>
      <c r="C10" s="331"/>
      <c r="D10" s="365"/>
      <c r="E10" s="319"/>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v>0</v>
      </c>
      <c r="AV11" s="368"/>
      <c r="AW11" s="374"/>
    </row>
    <row r="12" spans="2:49" ht="15" customHeight="1" x14ac:dyDescent="0.2">
      <c r="B12" s="343" t="s">
        <v>282</v>
      </c>
      <c r="C12" s="331" t="s">
        <v>44</v>
      </c>
      <c r="D12" s="318"/>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v>0</v>
      </c>
      <c r="AV12" s="368"/>
      <c r="AW12" s="374"/>
    </row>
    <row r="13" spans="2:49" x14ac:dyDescent="0.2">
      <c r="B13" s="343" t="s">
        <v>283</v>
      </c>
      <c r="C13" s="331" t="s">
        <v>10</v>
      </c>
      <c r="D13" s="318"/>
      <c r="E13" s="319"/>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v>0</v>
      </c>
      <c r="AV13" s="368"/>
      <c r="AW13" s="374"/>
    </row>
    <row r="14" spans="2:49" x14ac:dyDescent="0.2">
      <c r="B14" s="343" t="s">
        <v>284</v>
      </c>
      <c r="C14" s="331" t="s">
        <v>11</v>
      </c>
      <c r="D14" s="318"/>
      <c r="E14" s="319"/>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v>0</v>
      </c>
      <c r="K18" s="319">
        <v>0</v>
      </c>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v>0</v>
      </c>
      <c r="AV18" s="368"/>
      <c r="AW18" s="374"/>
    </row>
    <row r="19" spans="2:49" ht="25.5" x14ac:dyDescent="0.2">
      <c r="B19" s="345" t="s">
        <v>306</v>
      </c>
      <c r="C19" s="331"/>
      <c r="D19" s="318"/>
      <c r="E19" s="319"/>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8563591</v>
      </c>
      <c r="K23" s="362"/>
      <c r="L23" s="362"/>
      <c r="M23" s="362"/>
      <c r="N23" s="362"/>
      <c r="O23" s="364"/>
      <c r="P23" s="318">
        <v>2148256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212158</v>
      </c>
      <c r="AU23" s="321">
        <v>78038043</v>
      </c>
      <c r="AV23" s="368"/>
      <c r="AW23" s="374"/>
    </row>
    <row r="24" spans="2:49" ht="28.5" customHeight="1" x14ac:dyDescent="0.2">
      <c r="B24" s="345" t="s">
        <v>114</v>
      </c>
      <c r="C24" s="331"/>
      <c r="D24" s="365"/>
      <c r="E24" s="319"/>
      <c r="F24" s="319"/>
      <c r="G24" s="319"/>
      <c r="H24" s="319"/>
      <c r="I24" s="318"/>
      <c r="J24" s="365"/>
      <c r="K24" s="319">
        <v>8424282</v>
      </c>
      <c r="L24" s="319"/>
      <c r="M24" s="319"/>
      <c r="N24" s="319"/>
      <c r="O24" s="318"/>
      <c r="P24" s="365"/>
      <c r="Q24" s="319">
        <v>1658206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121691</v>
      </c>
      <c r="K26" s="362"/>
      <c r="L26" s="362"/>
      <c r="M26" s="362"/>
      <c r="N26" s="362"/>
      <c r="O26" s="364"/>
      <c r="P26" s="318">
        <v>41700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102</v>
      </c>
      <c r="AU26" s="321">
        <v>7716939</v>
      </c>
      <c r="AV26" s="368"/>
      <c r="AW26" s="374"/>
    </row>
    <row r="27" spans="2:49" s="5" customFormat="1" ht="25.5" x14ac:dyDescent="0.2">
      <c r="B27" s="345" t="s">
        <v>85</v>
      </c>
      <c r="C27" s="331"/>
      <c r="D27" s="365"/>
      <c r="E27" s="319"/>
      <c r="F27" s="319"/>
      <c r="G27" s="319"/>
      <c r="H27" s="319"/>
      <c r="I27" s="318"/>
      <c r="J27" s="365"/>
      <c r="K27" s="319">
        <v>33980</v>
      </c>
      <c r="L27" s="319"/>
      <c r="M27" s="319"/>
      <c r="N27" s="319"/>
      <c r="O27" s="318"/>
      <c r="P27" s="365"/>
      <c r="Q27" s="319">
        <v>32962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227020</v>
      </c>
      <c r="K28" s="363"/>
      <c r="L28" s="363"/>
      <c r="M28" s="363"/>
      <c r="N28" s="363"/>
      <c r="O28" s="365"/>
      <c r="P28" s="318">
        <v>498788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174489</v>
      </c>
      <c r="AU28" s="321">
        <v>3875548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v>0</v>
      </c>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v>0</v>
      </c>
      <c r="AV34" s="368"/>
      <c r="AW34" s="374"/>
    </row>
    <row r="35" spans="2:49" s="5" customFormat="1" x14ac:dyDescent="0.2">
      <c r="B35" s="345" t="s">
        <v>91</v>
      </c>
      <c r="C35" s="331"/>
      <c r="D35" s="365"/>
      <c r="E35" s="319"/>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v>0</v>
      </c>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v>0</v>
      </c>
      <c r="AV41" s="368"/>
      <c r="AW41" s="374"/>
    </row>
    <row r="42" spans="2:49" s="5" customFormat="1" ht="25.5" x14ac:dyDescent="0.2">
      <c r="B42" s="345" t="s">
        <v>92</v>
      </c>
      <c r="C42" s="331"/>
      <c r="D42" s="365"/>
      <c r="E42" s="319"/>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v>0</v>
      </c>
      <c r="K45" s="319">
        <v>0</v>
      </c>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v>0</v>
      </c>
      <c r="AV45" s="368"/>
      <c r="AW45" s="374"/>
    </row>
    <row r="46" spans="2:49" x14ac:dyDescent="0.2">
      <c r="B46" s="343" t="s">
        <v>116</v>
      </c>
      <c r="C46" s="331" t="s">
        <v>31</v>
      </c>
      <c r="D46" s="318"/>
      <c r="E46" s="319"/>
      <c r="F46" s="319"/>
      <c r="G46" s="319"/>
      <c r="H46" s="319"/>
      <c r="I46" s="318"/>
      <c r="J46" s="318">
        <v>0</v>
      </c>
      <c r="K46" s="319">
        <v>0</v>
      </c>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v>0</v>
      </c>
      <c r="AV46" s="368"/>
      <c r="AW46" s="374"/>
    </row>
    <row r="47" spans="2:49" x14ac:dyDescent="0.2">
      <c r="B47" s="343" t="s">
        <v>117</v>
      </c>
      <c r="C47" s="331" t="s">
        <v>32</v>
      </c>
      <c r="D47" s="318"/>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0</v>
      </c>
      <c r="K49" s="319">
        <v>0</v>
      </c>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v>0</v>
      </c>
      <c r="AV49" s="368"/>
      <c r="AW49" s="374"/>
    </row>
    <row r="50" spans="2:49" x14ac:dyDescent="0.2">
      <c r="B50" s="343" t="s">
        <v>119</v>
      </c>
      <c r="C50" s="331" t="s">
        <v>34</v>
      </c>
      <c r="D50" s="318"/>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v>0</v>
      </c>
      <c r="AV50" s="368"/>
      <c r="AW50" s="374"/>
    </row>
    <row r="51" spans="2:49" s="5" customFormat="1" x14ac:dyDescent="0.2">
      <c r="B51" s="343" t="s">
        <v>299</v>
      </c>
      <c r="C51" s="331"/>
      <c r="D51" s="318"/>
      <c r="E51" s="319"/>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v>0</v>
      </c>
      <c r="AV51" s="368"/>
      <c r="AW51" s="374"/>
    </row>
    <row r="52" spans="2:49" x14ac:dyDescent="0.2">
      <c r="B52" s="343" t="s">
        <v>300</v>
      </c>
      <c r="C52" s="331" t="s">
        <v>4</v>
      </c>
      <c r="D52" s="318"/>
      <c r="E52" s="319"/>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v>0</v>
      </c>
      <c r="AV52" s="368"/>
      <c r="AW52" s="374"/>
    </row>
    <row r="53" spans="2:49" s="5" customFormat="1" x14ac:dyDescent="0.2">
      <c r="B53" s="343" t="s">
        <v>301</v>
      </c>
      <c r="C53" s="331" t="s">
        <v>5</v>
      </c>
      <c r="D53" s="318"/>
      <c r="E53" s="319"/>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v>0</v>
      </c>
      <c r="AV53" s="368"/>
      <c r="AW53" s="374"/>
    </row>
    <row r="54" spans="2:49" s="92" customFormat="1" x14ac:dyDescent="0.2">
      <c r="B54" s="348" t="s">
        <v>302</v>
      </c>
      <c r="C54" s="334" t="s">
        <v>77</v>
      </c>
      <c r="D54" s="322"/>
      <c r="E54" s="323"/>
      <c r="F54" s="323"/>
      <c r="G54" s="323"/>
      <c r="H54" s="323"/>
      <c r="I54" s="322"/>
      <c r="J54" s="322">
        <f>J23+J26-J28+J30-J32+J34-J36+J38+J41-J43+J45+J46-J47-J49+J50+J51+J52+J53</f>
        <v>8458262</v>
      </c>
      <c r="K54" s="323">
        <f>K24+K27+K31+K35-K36+K39+K42+K45+K46-K49+K51+K52+K53</f>
        <v>8458262</v>
      </c>
      <c r="L54" s="323"/>
      <c r="M54" s="323"/>
      <c r="N54" s="323"/>
      <c r="O54" s="322"/>
      <c r="P54" s="322">
        <f>P23+P26-P28+P30-P32+P34-P36+P38+P41-P43+P45+P46-P47-P49+P50+P51+P52+P53</f>
        <v>1691168</v>
      </c>
      <c r="Q54" s="323">
        <f>Q24+Q27+Q31+Q35-Q36+Q39+Q42+Q45+Q46-Q49+Q51+Q52+Q53</f>
        <v>1691168</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37771</v>
      </c>
      <c r="AU54" s="324">
        <f>AU23+AU26-AU28+AU30-AU32+AU34-AU36+AU38+AU41-AU43+AU45+AU46-AU47-AU49+AU50+AU51+AU52+AU53</f>
        <v>81879434</v>
      </c>
      <c r="AV54" s="368"/>
      <c r="AW54" s="374"/>
    </row>
    <row r="55" spans="2:49" ht="25.5" x14ac:dyDescent="0.2">
      <c r="B55" s="348" t="s">
        <v>493</v>
      </c>
      <c r="C55" s="335" t="s">
        <v>28</v>
      </c>
      <c r="D55" s="322"/>
      <c r="E55" s="323"/>
      <c r="F55" s="323"/>
      <c r="G55" s="323"/>
      <c r="H55" s="323"/>
      <c r="I55" s="322"/>
      <c r="J55" s="322">
        <f t="shared" ref="J55:K55" si="0">MIN(MAX(0,J56),MAX(0,J57))</f>
        <v>0</v>
      </c>
      <c r="K55" s="323">
        <f t="shared" si="0"/>
        <v>0</v>
      </c>
      <c r="L55" s="323"/>
      <c r="M55" s="323"/>
      <c r="N55" s="323"/>
      <c r="O55" s="322"/>
      <c r="P55" s="322">
        <f t="shared" ref="P55:Q55" si="1">MIN(MAX(0,P56),MAX(0,P57))</f>
        <v>0</v>
      </c>
      <c r="Q55" s="323">
        <f t="shared" si="1"/>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 t="shared" ref="AT55:AU55" si="2">MIN(MAX(0,AT56),MAX(0,AT57))</f>
        <v>0</v>
      </c>
      <c r="AU55" s="324">
        <f t="shared" si="2"/>
        <v>0</v>
      </c>
      <c r="AV55" s="368"/>
      <c r="AW55" s="374"/>
    </row>
    <row r="56" spans="2:49" ht="11.85" customHeight="1" x14ac:dyDescent="0.2">
      <c r="B56" s="343" t="s">
        <v>120</v>
      </c>
      <c r="C56" s="335" t="s">
        <v>412</v>
      </c>
      <c r="D56" s="318"/>
      <c r="E56" s="319"/>
      <c r="F56" s="319"/>
      <c r="G56" s="319"/>
      <c r="H56" s="319"/>
      <c r="I56" s="318"/>
      <c r="J56" s="318">
        <v>0</v>
      </c>
      <c r="K56" s="319">
        <v>0</v>
      </c>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v>0</v>
      </c>
      <c r="AV56" s="321"/>
      <c r="AW56" s="374"/>
    </row>
    <row r="57" spans="2:49" x14ac:dyDescent="0.2">
      <c r="B57" s="343" t="s">
        <v>121</v>
      </c>
      <c r="C57" s="335" t="s">
        <v>29</v>
      </c>
      <c r="D57" s="318"/>
      <c r="E57" s="319"/>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F25" activePane="bottomRight" state="frozen"/>
      <selection activeCell="B1" sqref="B1"/>
      <selection pane="topRight" activeCell="B1" sqref="B1"/>
      <selection pane="bottomLeft" activeCell="B1" sqref="B1"/>
      <selection pane="bottomRight" activeCell="P59" sqref="P5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7775779</v>
      </c>
      <c r="I5" s="403">
        <v>9726809</v>
      </c>
      <c r="J5" s="454"/>
      <c r="K5" s="454"/>
      <c r="L5" s="448"/>
      <c r="M5" s="402">
        <v>38374832</v>
      </c>
      <c r="N5" s="403">
        <v>39970478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7775779</v>
      </c>
      <c r="I6" s="398">
        <v>9726809</v>
      </c>
      <c r="J6" s="400">
        <f>SUM('[1]Pt 1 Summary of Data'!K$12,'[1]Pt 1 Summary of Data'!K$22)+SUM('[1]Pt 1 Summary of Data'!M$12,'[1]Pt 1 Summary of Data'!M$22)-SUM('[1]Pt 1 Summary of Data'!N$12,'[1]Pt 1 Summary of Data'!N$22)</f>
        <v>8458262</v>
      </c>
      <c r="K6" s="400">
        <f>SUM(H6:J6)</f>
        <v>25960850</v>
      </c>
      <c r="L6" s="401"/>
      <c r="M6" s="397">
        <v>38374832</v>
      </c>
      <c r="N6" s="398">
        <v>39970478</v>
      </c>
      <c r="O6" s="400">
        <f>SUM('[1]Pt 1 Summary of Data'!Q$12,'[1]Pt 1 Summary of Data'!Q$22)+SUM('[1]Pt 1 Summary of Data'!S$12,'[1]Pt 1 Summary of Data'!S$22)-SUM('[1]Pt 1 Summary of Data'!T$12,'[1]Pt 1 Summary of Data'!T$22)</f>
        <v>1691168</v>
      </c>
      <c r="P6" s="400">
        <f>SUM(M6:O6)</f>
        <v>80036478</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0</v>
      </c>
      <c r="I7" s="398">
        <v>0</v>
      </c>
      <c r="J7" s="400">
        <f>SUM('[1]Pt 1 Summary of Data'!K$37:K$41)+SUM('[1]Pt 1 Summary of Data'!M$37:M$41)-SUM('[1]Pt 1 Summary of Data'!N$37:N$41)+MAX(0,MIN('[1]Pt 1 Summary of Data'!K$42+'[1]Pt 1 Summary of Data'!M$42-'[1]Pt 1 Summary of Data'!N$42,0.3%*('[1]Pt 1 Summary of Data'!K$5+'[1]Pt 1 Summary of Data'!M$5-'[1]Pt 1 Summary of Data'!N$5-SUM(J$10:J$11))))</f>
        <v>0</v>
      </c>
      <c r="K7" s="400">
        <f>SUM(H7:J7)</f>
        <v>0</v>
      </c>
      <c r="L7" s="401"/>
      <c r="M7" s="397">
        <v>0</v>
      </c>
      <c r="N7" s="398">
        <v>0</v>
      </c>
      <c r="O7" s="400">
        <f>SUM('[1]Pt 1 Summary of Data'!Q$37:Q$41)+SUM('[1]Pt 1 Summary of Data'!S$37:S$41)-SUM('[1]Pt 1 Summary of Data'!T$37:T$41)+MAX(0,MIN('[1]Pt 1 Summary of Data'!Q$42+'[1]Pt 1 Summary of Data'!S$42-'[1]Pt 1 Summary of Data'!T$42,0.3%*('[1]Pt 1 Summary of Data'!Q$5+'[1]Pt 1 Summary of Data'!S$5-'[1]Pt 1 Summary of Data'!T$5)))</f>
        <v>0</v>
      </c>
      <c r="P7" s="400">
        <f>SUM(M7:O7)</f>
        <v>0</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0</v>
      </c>
      <c r="J10" s="400">
        <f>'[1]Pt 2 Premium and Claims'!K$16+'[1]Pt 2 Premium and Claims'!M$16-'[1]Pt 2 Premium and Claims'!N$16</f>
        <v>0</v>
      </c>
      <c r="K10" s="400">
        <f>SUM(H10:J10)</f>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v>0</v>
      </c>
      <c r="J11" s="400">
        <f>'[1]Pt 2 Premium and Claims'!K$17+'[1]Pt 2 Premium and Claims'!M$17-'[1]Pt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f>SUM(H$6:H$7)+IF(AND(OR('[1]Company Information'!$C$12="District of Columbia",'[1]Company Information'!$C$12="Massachusetts",'[1]Company Information'!$C$12="Vermont"),SUM($H$6:$K$11,$H$15:$K$16,$H$38:$I$38)&lt;&gt;0),SUM(C$6:C$7),0)</f>
        <v>7775779</v>
      </c>
      <c r="I12" s="400">
        <f>SUM(I$6:I$7) - SUM(I$10:I$11)+IF(AND(OR('[1]Company Information'!$C$12="District of Columbia",'[1]Company Information'!$C$12="Massachusetts",'[1]Company Information'!$C$12="Vermont"),SUM($H$6:$K$11,$H$15:$K$16,$H$38:$I$38)&lt;&gt;0),SUM(D$6:D$7) - SUM(D$8:D$11),0)</f>
        <v>9726809</v>
      </c>
      <c r="J12" s="400">
        <f>SUM(J$6:J$7)-SUM(J$10:J$11)+IF(AND(OR('[1]Company Information'!$C$12="District of Columbia",'[1]Company Information'!$C$12="Massachusetts",'[1]Company Information'!$C$12="Vermont"),SUM($H$6:$K$11,$H$15:$K$16,$H$38:$I$38)&lt;&gt;0),SUM(E$6:E$7)-SUM(E$8:E$11),0)</f>
        <v>8458262</v>
      </c>
      <c r="K12" s="400">
        <f>IFERROR(SUM(H$12:J$12)+H$17*MAX(0,J$50-H$50)+I$17*MAX(0,J$50-I$50),0)</f>
        <v>25960850</v>
      </c>
      <c r="L12" s="447"/>
      <c r="M12" s="399">
        <f>SUM(M$6:M$7)</f>
        <v>38374832</v>
      </c>
      <c r="N12" s="400">
        <f>SUM(N$6:N$7)</f>
        <v>39970478</v>
      </c>
      <c r="O12" s="400">
        <f>SUM(O$6:O$7)</f>
        <v>1691168</v>
      </c>
      <c r="P12" s="400">
        <f>SUM(M$12:O$12)+M$17*MAX(0,O$50-M$50)+N$17*MAX(0,O$50-N$50)</f>
        <v>80036478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9415877</v>
      </c>
      <c r="I15" s="403">
        <v>11812848</v>
      </c>
      <c r="J15" s="395">
        <f>SUM('[1]Pt 1 Summary of Data'!K$5:K$7)+SUM('[1]Pt 1 Summary of Data'!M$5:M$7)-SUM('[1]Pt 1 Summary of Data'!N$5:N$7)-SUM(J$10:J$11)</f>
        <v>9338371</v>
      </c>
      <c r="K15" s="395">
        <f>SUM(H15:J15)</f>
        <v>30567096</v>
      </c>
      <c r="L15" s="396"/>
      <c r="M15" s="402">
        <v>42503467</v>
      </c>
      <c r="N15" s="403">
        <v>44981931</v>
      </c>
      <c r="O15" s="395">
        <f>SUM('[1]Pt 1 Summary of Data'!Q$5:Q$7)+SUM('[1]Pt 1 Summary of Data'!S$5:S$7)-SUM('[1]Pt 1 Summary of Data'!T$5:T$7)+N$56</f>
        <v>1792376</v>
      </c>
      <c r="P15" s="395">
        <f>SUM(M15:O15)</f>
        <v>89277774</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37988</v>
      </c>
      <c r="I16" s="398">
        <v>422901</v>
      </c>
      <c r="J16" s="400">
        <f>SUM('[1]Pt 1 Summary of Data'!K$25:K$28,'[1]Pt 1 Summary of Data'!K$30,'[1]Pt 1 Summary of Data'!K$34:K$35)+SUM('[1]Pt 1 Summary of Data'!M$25:M$28,'[1]Pt 1 Summary of Data'!M$30,'[1]Pt 1 Summary of Data'!M$34:M$35)-SUM('[1]Pt 1 Summary of Data'!N$25:N$28,'[1]Pt 1 Summary of Data'!N$30,'[1]Pt 1 Summary of Data'!N$34:N$35)+IF('[1]Company Information'!$C$15="No",IF(MAX('[1]Pt 1 Summary of Data'!K$31:K$32)=0,MIN('[1]Pt 1 Summary of Data'!K$31:K$32),MAX('[1]Pt 1 Summary of Data'!K$31:K$32))+IF(MAX('[1]Pt 1 Summary of Data'!M$31:M$32)=0,MIN('[1]Pt 1 Summary of Data'!M$31:M$32),MAX('[1]Pt 1 Summary of Data'!M$31:M$32))-IF(MAX('[1]Pt 1 Summary of Data'!N$31:N$32)=0,MIN('[1]Pt 1 Summary of Data'!N$31:N$32),MAX('[1]Pt 1 Summary of Data'!N$31:N$32)),SUM('[1]Pt 1 Summary of Data'!K$31:K$32)+SUM('[1]Pt 1 Summary of Data'!M$31:M$32)-SUM('[1]Pt 1 Summary of Data'!N$31:N$32))</f>
        <v>701444</v>
      </c>
      <c r="K16" s="400">
        <f>SUM(H16:J16)</f>
        <v>1162333</v>
      </c>
      <c r="L16" s="401"/>
      <c r="M16" s="397">
        <v>622173</v>
      </c>
      <c r="N16" s="398">
        <v>1716595</v>
      </c>
      <c r="O16" s="400">
        <f>SUM('[1]Pt 1 Summary of Data'!Q$25:Q$28,'[1]Pt 1 Summary of Data'!Q$30,'[1]Pt 1 Summary of Data'!Q$34:Q$35)+SUM('[1]Pt 1 Summary of Data'!S$25:S$28,'[1]Pt 1 Summary of Data'!S$30,'[1]Pt 1 Summary of Data'!S$34:S$35)-SUM('[1]Pt 1 Summary of Data'!T$25:T$28,'[1]Pt 1 Summary of Data'!T$30,'[1]Pt 1 Summary of Data'!T$34:T$35)+IF('[1]Company Information'!$C$15="No",IF(MAX('[1]Pt 1 Summary of Data'!Q$31:Q$32)=0,MIN('[1]Pt 1 Summary of Data'!Q$31:Q$32),MAX('[1]Pt 1 Summary of Data'!Q$31:Q$32))+IF(MAX('[1]Pt 1 Summary of Data'!S$31:S$32)=0,MIN('[1]Pt 1 Summary of Data'!S$31:S$32),MAX('[1]Pt 1 Summary of Data'!S$31:S$32))-IF(MAX('[1]Pt 1 Summary of Data'!T$31:T$32)=0,MIN('[1]Pt 1 Summary of Data'!T$31:T$32),MAX('[1]Pt 1 Summary of Data'!T$31:T$32)),SUM('[1]Pt 1 Summary of Data'!Q$31:Q$32)+SUM('[1]Pt 1 Summary of Data'!S$31:S$32)-SUM('[1]Pt 1 Summary of Data'!T$31:T$32))+N$57</f>
        <v>127736</v>
      </c>
      <c r="P16" s="400">
        <f>SUM(M16:O16)</f>
        <v>2466504</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f>H$15-H$16+IF(AND(OR('[1]Company Information'!$C$12="District of Columbia",'[1]Company Information'!$C$12="Massachusetts",'[1]Company Information'!$C$12="Vermont"),SUM($H$6:$K$11,$H$15:$K$16,$H$38:$I$38)&lt;&gt;0),C$15-C$16,0)</f>
        <v>9377889</v>
      </c>
      <c r="I17" s="400">
        <f>I$15-I$16+IF(AND(OR('[1]Company Information'!$C$12="District of Columbia",'[1]Company Information'!$C$12="Massachusetts",'[1]Company Information'!$C$12="Vermont"),SUM($H$6:$K$11,$H$15:$K$16,$H$38:$I$38)&lt;&gt;0),D$15-D$16,0)</f>
        <v>11389947</v>
      </c>
      <c r="J17" s="400">
        <f>J$15-J$16+IF(AND(OR('[1]Company Information'!$C$12="District of Columbia",'[1]Company Information'!$C$12="Massachusetts",'[1]Company Information'!$C$12="Vermont"),SUM($H$6:$K$11,$H$15:$K$16,$H$38:$I$38)&lt;&gt;0),E$15-E$16,0)</f>
        <v>8636927</v>
      </c>
      <c r="K17" s="400">
        <f>K$15-K$16+IF(AND(OR('[1]Company Information'!$C$12="District of Columbia",'[1]Company Information'!$C$12="Massachusetts",'[1]Company Information'!$C$12="Vermont"),SUM($H$6:$K$11,$H$15:$K$16,$H$38:$I$38)&lt;&gt;0),F$15-F$16,0)</f>
        <v>29404763</v>
      </c>
      <c r="L17" s="450"/>
      <c r="M17" s="399">
        <f>M$15-M$16</f>
        <v>41881294</v>
      </c>
      <c r="N17" s="400">
        <f>N$15-N$16</f>
        <v>43265336</v>
      </c>
      <c r="O17" s="400">
        <f>O$15-O$16</f>
        <v>1664640</v>
      </c>
      <c r="P17" s="400">
        <f>P$15-P$16</f>
        <v>86811270</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2896</v>
      </c>
      <c r="I38" s="405">
        <v>3409</v>
      </c>
      <c r="J38" s="432">
        <f>('[1]Pt 1 Summary of Data'!K$59+'[1]Pt 1 Summary of Data'!M$59-'[1]Pt 1 Summary of Data'!N$59)/12+IF(AND(OR('[1]Company Information'!$C$12="District of Columbia",'[1]Company Information'!$C$12="Massachusetts",'[1]Company Information'!$C$12="Vermont"),SUM($H$6:$K$11,$H$15:$K$16,$H$38:$I$38)&lt;&gt;0),'[1]Pt 1 Summary of Data'!E$59+'[1]Pt 1 Summary of Data'!G$59-'[1]Pt 1 Summary of Data'!H$59,0)/12</f>
        <v>2730.3333333333335</v>
      </c>
      <c r="K38" s="432">
        <f>SUM(H$38:J$38)+IF(AND(OR('[1]Company Information'!$C$12="District of Columbia",'[1]Company Information'!$C$12="Massachusetts",'[1]Company Information'!$C$12="Vermont"),SUM($H$6:$K$11,$H$15:$K$16,$H$38:$I$38)&lt;&gt;0,SUM(H$38:I$38)&lt;&gt;SUM(C$38:D$38)),SUM(C$38:D$38),0)</f>
        <v>9035.3333333333339</v>
      </c>
      <c r="L38" s="448"/>
      <c r="M38" s="404">
        <v>9361</v>
      </c>
      <c r="N38" s="405">
        <v>9557</v>
      </c>
      <c r="O38" s="432">
        <f>('[1]Pt 1 Summary of Data'!Q$59+'[1]Pt 1 Summary of Data'!S$59-'[1]Pt 1 Summary of Data'!T$59)/12</f>
        <v>497.25</v>
      </c>
      <c r="P38" s="432">
        <f>SUM(M$38:O$38)</f>
        <v>19415.25</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2.8122266666666663E-2</v>
      </c>
      <c r="L39" s="461"/>
      <c r="M39" s="459"/>
      <c r="N39" s="460"/>
      <c r="O39" s="460"/>
      <c r="P39" s="439">
        <v>1.9723166666666667E-2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798</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f ca="1">IF(K$40&lt;2500,1,(MIN(VLOOKUP(K$40,'[1]Reference Tables'!$A$17:$B$20,2)+((K$40-VLOOKUP(K$40,'[1]Reference Tables'!$A$17:$B$20,1))*(OFFSET(INDEX('[1]Reference Tables'!$A$17:$A$20,MATCH(K$40,'[1]Reference Tables'!$A$17:$A$20)),1,1)-VLOOKUP(K$40,'[1]Reference Tables'!$A$17:$B$20,2))/(OFFSET(INDEX('[1]Reference Tables'!$A$17:$A$20,MATCH(K$40,'[1]Reference Tables'!$A$17:$A$20)),1,0)-VLOOKUP(K$40,'[1]Reference Tables'!$A$17:$B$20,1))),1.736)))</f>
        <v>1</v>
      </c>
      <c r="L41" s="447"/>
      <c r="M41" s="443"/>
      <c r="N41" s="441"/>
      <c r="O41" s="441"/>
      <c r="P41" s="434">
        <f ca="1">IF(P$40&lt;2500,1,(MIN(VLOOKUP(P$40,'[1]Reference Tables'!$A$17:$B$20,2)+((P$40-VLOOKUP(P$40,'[1]Reference Tables'!$A$17:$B$20,1))*(OFFSET(INDEX('[1]Reference Tables'!$A$17:$A$20,MATCH(P$40,'[1]Reference Tables'!$A$17:$A$20)),1,1)-VLOOKUP(P$40,'[1]Reference Tables'!$A$17:$B$20,2))/(OFFSET(INDEX('[1]Reference Tables'!$A$17:$A$20,MATCH(P$40,'[1]Reference Tables'!$A$17:$A$20)),1,0)-VLOOKUP(P$40,'[1]Reference Tables'!$A$17:$B$20,1))),1.736)))</f>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f ca="1">IF(OR(K$38&lt;1000,K$38&gt;=75000),0,K$39*K$41)</f>
        <v>2.8122266666666663E-2</v>
      </c>
      <c r="L42" s="447"/>
      <c r="M42" s="443"/>
      <c r="N42" s="441"/>
      <c r="O42" s="441"/>
      <c r="P42" s="436">
        <f ca="1">IF(OR(P$38&lt;1000,P$38&gt;=75000),0,P$39*P$41)</f>
        <v>1.9723166666666667E-2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f>IF(OR(H$38&lt;1000,H$17&lt;=0),"",H$12/H$17)</f>
        <v>0.82916091243988921</v>
      </c>
      <c r="I45" s="436">
        <f>IF(OR(I$38&lt;1000,I$17&lt;=0),"",I$12/I$17)</f>
        <v>0.85398193687819623</v>
      </c>
      <c r="J45" s="436">
        <f>IF(OR(J$38&lt;1000,J$17&lt;=0),"",J$12/J$17)</f>
        <v>0.97931382307619363</v>
      </c>
      <c r="K45" s="436">
        <f>IF(OR(K$38&lt;1000,K$17&lt;=0),"",K$12/K$17)</f>
        <v>0.88287907642717611</v>
      </c>
      <c r="L45" s="447"/>
      <c r="M45" s="438">
        <f>IF(OR(M$38&lt;1000,M$17&lt;=0),"",M$12/M$17)</f>
        <v>0.91627617809516582</v>
      </c>
      <c r="N45" s="436">
        <f>IF(OR(N$38&lt;1000,N$17&lt;=0),"",N$12/N$17)</f>
        <v>0.92384531579738571</v>
      </c>
      <c r="O45" s="436" t="str">
        <f>IF(OR(O$38&lt;1000,O$17&lt;=0),"",O$12/O$17)</f>
        <v/>
      </c>
      <c r="P45" s="436">
        <f>IF(OR(P$38&lt;1000,P$17&lt;=0),"",P$12/P$17)</f>
        <v>0.92195953359511962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f ca="1">IF(K$45="","",K$42)</f>
        <v>2.8122266666666663E-2</v>
      </c>
      <c r="L47" s="447"/>
      <c r="M47" s="443"/>
      <c r="N47" s="441"/>
      <c r="O47" s="441"/>
      <c r="P47" s="436">
        <f ca="1">IF(P$45="","",P$42)</f>
        <v>1.9723166666666667E-2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f ca="1">IF(K$45="","",ROUND(K$45+MAX(0,K$47),3))</f>
        <v>0.91100000000000003</v>
      </c>
      <c r="L48" s="447"/>
      <c r="M48" s="443"/>
      <c r="N48" s="441"/>
      <c r="O48" s="441"/>
      <c r="P48" s="436">
        <f ca="1">IF(P$45="","",ROUND(P$45+MAX(0,P$47),3))</f>
        <v>0.94199999999999995</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f ca="1">K$48</f>
        <v>0.91100000000000003</v>
      </c>
      <c r="L51" s="447"/>
      <c r="M51" s="444"/>
      <c r="N51" s="442"/>
      <c r="O51" s="442"/>
      <c r="P51" s="436">
        <f ca="1">P$48</f>
        <v>0.94199999999999995</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f>IF(K$38&lt;1000,"",MAX(0,J$15-J$16))</f>
        <v>8636927</v>
      </c>
      <c r="L52" s="447"/>
      <c r="M52" s="443"/>
      <c r="N52" s="441"/>
      <c r="O52" s="441"/>
      <c r="P52" s="400">
        <f>IF(P$38&lt;1000,"",MAX(0,O$15-O$16))</f>
        <v>1664640</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f ca="1">IF(OR(K$38&lt;1000,K$17&lt;=0),0,MAX(0,K$50-K$51)*K$52)</f>
        <v>0</v>
      </c>
      <c r="L53" s="447"/>
      <c r="M53" s="443"/>
      <c r="N53" s="441"/>
      <c r="O53" s="441"/>
      <c r="P53" s="400">
        <f ca="1">IF(OR(P$38&lt;1000,P$17&lt;=0),0,MAX(0,P$50-P$51)*P$52)</f>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2" sqref="E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f>'[1]Pt 1 Summary of Data'!$K$56+'[1]Pt 1 Summary of Data'!$M$56-'[1]Pt 1 Summary of Data'!$N$56</f>
        <v>0</v>
      </c>
      <c r="E4" s="104">
        <f>'[1]Pt 1 Summary of Data'!$Q$56+'[1]Pt 1 Summary of Data'!$S$56-'[1]Pt 1 Summary of Data'!$T$56</f>
        <v>0</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f>'[1]Pt 3 MLR and Rebate Calculation'!$K$53</f>
        <v>0</v>
      </c>
      <c r="E11" s="97">
        <f>'[1]Pt 3 MLR and Rebate Calculation'!$P$53</f>
        <v>0</v>
      </c>
      <c r="F11" s="97"/>
      <c r="G11" s="97"/>
      <c r="H11" s="97"/>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v>0</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v>0</v>
      </c>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B48" sqref="B48:D4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502</v>
      </c>
      <c r="C5" s="113"/>
      <c r="D5" s="136" t="s">
        <v>507</v>
      </c>
      <c r="E5" s="7"/>
    </row>
    <row r="6" spans="1:5" ht="35.25" customHeight="1" x14ac:dyDescent="0.2">
      <c r="B6" s="134" t="s">
        <v>503</v>
      </c>
      <c r="C6" s="113"/>
      <c r="D6" s="137" t="s">
        <v>508</v>
      </c>
      <c r="E6" s="7"/>
    </row>
    <row r="7" spans="1:5" ht="35.25" customHeight="1" x14ac:dyDescent="0.2">
      <c r="B7" s="134" t="s">
        <v>504</v>
      </c>
      <c r="C7" s="113"/>
      <c r="D7" s="137" t="s">
        <v>507</v>
      </c>
      <c r="E7" s="7"/>
    </row>
    <row r="8" spans="1:5" ht="35.25" customHeight="1" x14ac:dyDescent="0.2">
      <c r="B8" s="134" t="s">
        <v>505</v>
      </c>
      <c r="C8" s="113"/>
      <c r="D8" s="137" t="s">
        <v>508</v>
      </c>
      <c r="E8" s="7"/>
    </row>
    <row r="9" spans="1:5" ht="35.25" customHeight="1" x14ac:dyDescent="0.2">
      <c r="B9" s="134" t="s">
        <v>506</v>
      </c>
      <c r="C9" s="113"/>
      <c r="D9" s="137" t="s">
        <v>507</v>
      </c>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509</v>
      </c>
      <c r="C27" s="113"/>
      <c r="D27" s="138" t="s">
        <v>512</v>
      </c>
      <c r="E27" s="7"/>
    </row>
    <row r="28" spans="2:5" ht="35.25" customHeight="1" x14ac:dyDescent="0.2">
      <c r="B28" s="134" t="s">
        <v>510</v>
      </c>
      <c r="C28" s="113"/>
      <c r="D28" s="137" t="s">
        <v>513</v>
      </c>
      <c r="E28" s="7"/>
    </row>
    <row r="29" spans="2:5" ht="35.25" customHeight="1" x14ac:dyDescent="0.2">
      <c r="B29" s="134" t="s">
        <v>511</v>
      </c>
      <c r="C29" s="113"/>
      <c r="D29" s="137" t="s">
        <v>514</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515</v>
      </c>
      <c r="C34" s="113"/>
      <c r="D34" s="137" t="s">
        <v>516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510</v>
      </c>
      <c r="C48" s="113"/>
      <c r="D48" s="137" t="s">
        <v>513</v>
      </c>
      <c r="E48" s="7"/>
    </row>
    <row r="49" spans="2:5" ht="35.25" customHeight="1" x14ac:dyDescent="0.2">
      <c r="B49" s="134" t="s">
        <v>511</v>
      </c>
      <c r="C49" s="113"/>
      <c r="D49" s="137" t="s">
        <v>514</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517</v>
      </c>
      <c r="C156" s="113"/>
      <c r="D156" s="137" t="s">
        <v>518</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519</v>
      </c>
      <c r="C178" s="113"/>
      <c r="D178" s="137" t="s">
        <v>520</v>
      </c>
      <c r="E178" s="27"/>
    </row>
    <row r="179" spans="2:5" s="5" customFormat="1" ht="35.25" customHeight="1" x14ac:dyDescent="0.2">
      <c r="B179" s="134"/>
      <c r="C179" s="113"/>
      <c r="D179" s="137" t="s">
        <v>521</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4" sqref="A4"/>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Jeff Mihal</cp:lastModifiedBy>
  <cp:lastPrinted>2014-12-18T11:24:00Z</cp:lastPrinted>
  <dcterms:created xsi:type="dcterms:W3CDTF">2012-03-15T16:14:51Z</dcterms:created>
  <dcterms:modified xsi:type="dcterms:W3CDTF">2016-07-29T16:13:48Z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