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15" yWindow="45" windowWidth="10125" windowHeight="744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Data'!$B$1:$T$63</definedName>
    <definedName name="_xlnm.Print_Area" localSheetId="2">'Pt 2 Premium and Claims'!$B$1:$T$59</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G34" i="10"/>
  <c r="G32"/>
  <c r="G31"/>
  <c r="G30"/>
  <c r="G29"/>
  <c r="G28"/>
  <c r="G27"/>
  <c r="G26"/>
  <c r="G25"/>
  <c r="G24"/>
  <c r="G23"/>
  <c r="G22"/>
  <c r="G21"/>
  <c r="G20"/>
  <c r="G19"/>
  <c r="G33"/>
  <c r="G16"/>
  <c r="G10"/>
  <c r="G9"/>
  <c r="G8"/>
  <c r="G7"/>
  <c r="G6"/>
  <c r="E16" l="1"/>
  <c r="Q55" i="18" l="1"/>
  <c r="L59" i="10"/>
  <c r="L58" s="1"/>
  <c r="P42"/>
  <c r="O16"/>
  <c r="P16" s="1"/>
  <c r="O7"/>
  <c r="N45"/>
  <c r="M45"/>
  <c r="H45"/>
  <c r="F42"/>
  <c r="O38"/>
  <c r="P38" s="1"/>
  <c r="J38"/>
  <c r="K38" s="1"/>
  <c r="K39" s="1"/>
  <c r="K42" s="1"/>
  <c r="K47" s="1"/>
  <c r="F38"/>
  <c r="E38"/>
  <c r="L20"/>
  <c r="L16"/>
  <c r="J16"/>
  <c r="N17"/>
  <c r="M17"/>
  <c r="I17"/>
  <c r="H17"/>
  <c r="D17"/>
  <c r="C17"/>
  <c r="I12"/>
  <c r="I45" s="1"/>
  <c r="F11"/>
  <c r="E11"/>
  <c r="L10"/>
  <c r="K10"/>
  <c r="J10"/>
  <c r="F10"/>
  <c r="E10"/>
  <c r="J7"/>
  <c r="E9"/>
  <c r="F9" s="1"/>
  <c r="G15" s="1"/>
  <c r="E8"/>
  <c r="F8" s="1"/>
  <c r="E7"/>
  <c r="L7"/>
  <c r="F16" l="1"/>
  <c r="K16"/>
  <c r="Q54" i="18"/>
  <c r="O54"/>
  <c r="E54"/>
  <c r="K54"/>
  <c r="Q22" i="4" l="1"/>
  <c r="Q12"/>
  <c r="P12"/>
  <c r="O12"/>
  <c r="K12"/>
  <c r="J12"/>
  <c r="Q5"/>
  <c r="O15" i="10" s="1"/>
  <c r="P52" s="1"/>
  <c r="P5" i="4"/>
  <c r="O5"/>
  <c r="L15" i="10" s="1"/>
  <c r="E5" i="4"/>
  <c r="E15" i="10" s="1"/>
  <c r="E55" i="18"/>
  <c r="E22" i="4" s="1"/>
  <c r="K55" i="18"/>
  <c r="K22" i="4" s="1"/>
  <c r="J6" i="10" s="1"/>
  <c r="O55" i="18"/>
  <c r="O22" i="4" s="1"/>
  <c r="L27" i="10" l="1"/>
  <c r="L23"/>
  <c r="L32"/>
  <c r="L24"/>
  <c r="E17"/>
  <c r="F15"/>
  <c r="F17" s="1"/>
  <c r="L6"/>
  <c r="L19" s="1"/>
  <c r="O6"/>
  <c r="P15"/>
  <c r="O17"/>
  <c r="P17" s="1"/>
  <c r="L22"/>
  <c r="L30" s="1"/>
  <c r="L31" s="1"/>
  <c r="L29" s="1"/>
  <c r="L33" s="1"/>
  <c r="L21" l="1"/>
  <c r="L26" s="1"/>
  <c r="L25" s="1"/>
  <c r="L28" s="1"/>
  <c r="L34"/>
  <c r="O60" i="4"/>
  <c r="E12"/>
  <c r="E6" i="10" s="1"/>
  <c r="D12" i="4"/>
  <c r="Q60" l="1"/>
  <c r="P60"/>
  <c r="J60"/>
  <c r="K60"/>
  <c r="E60"/>
  <c r="P7" i="10" l="1"/>
  <c r="P6"/>
  <c r="O12"/>
  <c r="N12"/>
  <c r="M12"/>
  <c r="K7"/>
  <c r="K6"/>
  <c r="H12"/>
  <c r="D12"/>
  <c r="E12"/>
  <c r="C12"/>
  <c r="F7"/>
  <c r="F6"/>
  <c r="O45" l="1"/>
  <c r="P12"/>
  <c r="P45" s="1"/>
  <c r="P48" s="1"/>
  <c r="P51" s="1"/>
  <c r="F12"/>
  <c r="D5" i="4"/>
  <c r="P55" i="18"/>
  <c r="P22" i="4" s="1"/>
  <c r="P54" i="18"/>
  <c r="D55"/>
  <c r="D22" i="4" s="1"/>
  <c r="D54" i="18"/>
  <c r="J54"/>
  <c r="J55"/>
  <c r="J22" i="4" s="1"/>
  <c r="D60" l="1"/>
  <c r="L35" i="10" l="1"/>
  <c r="L36" l="1"/>
  <c r="K17" i="18"/>
  <c r="J17"/>
  <c r="J5" i="4" l="1"/>
  <c r="J11" i="10"/>
  <c r="K5" i="4"/>
  <c r="J15" i="10" l="1"/>
  <c r="K11"/>
  <c r="J12"/>
  <c r="K12" s="1"/>
  <c r="K15" l="1"/>
  <c r="K17" s="1"/>
  <c r="K45" s="1"/>
  <c r="K48" s="1"/>
  <c r="K51" s="1"/>
  <c r="K52"/>
  <c r="J17"/>
  <c r="J45"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<sst xmlns="http://schemas.openxmlformats.org/spreadsheetml/2006/main" count="568" uniqueCount="507">
  <si>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</si>
  <si>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</si>
  <si>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</si>
  <si>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</si>
  <si>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</si>
  <si>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</si>
  <si>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</si>
  <si>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</si>
  <si>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</si>
  <si>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</si>
  <si>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</si>
  <si>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</si>
  <si>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</si>
  <si>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</si>
  <si>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</si>
  <si>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</si>
  <si>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</si>
  <si>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</si>
  <si>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</si>
  <si>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</si>
  <si>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</si>
  <si>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</si>
  <si>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</si>
  <si>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</si>
  <si>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</si>
  <si>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</si>
  <si>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</si>
  <si>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</si>
  <si>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</si>
  <si>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</si>
  <si>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</si>
  <si>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</si>
  <si>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</si>
  <si>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</si>
  <si>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</si>
  <si>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</si>
  <si>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</si>
  <si>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</si>
  <si>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</si>
  <si>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</si>
  <si>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</si>
  <si>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</si>
  <si>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</si>
  <si>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</si>
  <si>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</si>
  <si>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</si>
  <si>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</si>
  <si>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</si>
  <si>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</si>
  <si>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</si>
  <si>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</si>
  <si>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</si>
  <si>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</si>
  <si>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</si>
  <si>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</si>
  <si>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</si>
  <si>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</si>
  <si>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</si>
  <si>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</si>
  <si>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</si>
  <si>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</si>
  <si>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</si>
  <si>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</si>
  <si>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</si>
  <si>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</si>
  <si>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</si>
  <si>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</si>
  <si>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</si>
  <si>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</si>
  <si>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</si>
  <si>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</si>
  <si>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</si>
  <si>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</si>
  <si>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</si>
  <si>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</si>
  <si>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</si>
  <si>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</si>
  <si>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</si>
  <si>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</si>
  <si>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</si>
  <si>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</si>
  <si>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</si>
  <si>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</si>
  <si>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</si>
  <si>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</si>
  <si>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</si>
  <si>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</si>
  <si>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</si>
  <si>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</si>
  <si>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</si>
  <si>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</si>
  <si>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</si>
  <si>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</si>
  <si>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</si>
  <si>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</si>
  <si>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</si>
  <si>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</si>
  <si>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</si>
  <si>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</si>
  <si>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</si>
  <si>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</si>
  <si>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</si>
  <si>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</si>
  <si>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</si>
  <si>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</si>
  <si>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</si>
  <si>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</si>
  <si>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</si>
  <si>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</si>
  <si>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</si>
  <si>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</si>
  <si>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</si>
  <si>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</si>
  <si>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</si>
  <si>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</si>
  <si>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</si>
  <si>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</si>
  <si>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</si>
  <si>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</si>
  <si>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</si>
  <si>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</si>
  <si>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</si>
  <si>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</si>
  <si>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</si>
  <si>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</si>
  <si>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</si>
  <si>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</si>
  <si>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</si>
  <si>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</si>
  <si>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</si>
  <si>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</si>
  <si>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</si>
  <si>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</si>
  <si>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</si>
  <si>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</si>
  <si>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</si>
  <si>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</si>
  <si>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</si>
  <si>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</si>
  <si>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</si>
  <si>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</si>
  <si>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</si>
  <si>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</si>
  <si>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</si>
  <si>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</si>
  <si>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</si>
  <si>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</si>
  <si>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</si>
  <si>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</si>
  <si>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</si>
  <si>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</si>
  <si>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</si>
  <si>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</si>
  <si>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</si>
  <si>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</si>
  <si>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</si>
  <si>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</si>
  <si>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</si>
  <si>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</si>
  <si>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</si>
  <si>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</si>
  <si>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</si>
  <si>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</si>
  <si>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</si>
  <si>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</si>
  <si>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</si>
  <si>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</si>
  <si>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</si>
  <si>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</si>
  <si>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</si>
  <si>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</si>
  <si>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</si>
  <si>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</si>
  <si>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</si>
  <si>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</si>
  <si>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</si>
  <si>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</si>
  <si>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</si>
  <si>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</si>
  <si>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</si>
  <si>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</si>
  <si>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</si>
  <si>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</si>
  <si>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</si>
  <si>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</si>
  <si>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</si>
  <si>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</si>
  <si>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</si>
  <si>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</si>
  <si>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</si>
  <si>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</si>
  <si>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</si>
  <si>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</si>
  <si>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</si>
  <si>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</si>
  <si>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</si>
  <si>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</si>
  <si>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</si>
  <si>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</si>
  <si>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</si>
  <si>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</si>
  <si>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</si>
  <si>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</si>
  <si>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</si>
  <si>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</si>
  <si>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</si>
  <si>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</si>
  <si>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</si>
  <si>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</si>
  <si>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</si>
  <si>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</si>
  <si>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</si>
  <si>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</si>
  <si>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</si>
  <si>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</si>
  <si>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</si>
  <si>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</si>
  <si>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</si>
  <si>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</si>
  <si>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</si>
  <si>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</si>
  <si>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</si>
  <si>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</si>
  <si>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</si>
  <si>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</si>
  <si>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</si>
  <si>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</si>
  <si>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</si>
  <si>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</si>
  <si>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</si>
  <si>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</si>
  <si>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</si>
  <si>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</si>
  <si>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</si>
  <si>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</si>
  <si>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</si>
  <si>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</si>
  <si>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</si>
  <si>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</si>
  <si>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</si>
  <si>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</si>
  <si>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</si>
  <si>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</si>
  <si>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</si>
  <si>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</si>
  <si>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</si>
  <si>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</si>
  <si>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</si>
  <si>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</si>
  <si>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</si>
  <si>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</si>
  <si>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</si>
  <si>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</si>
  <si>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</si>
  <si>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</si>
  <si>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</si>
  <si>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</si>
  <si>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</si>
  <si>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</si>
  <si>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</si>
  <si>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</si>
  <si>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</si>
  <si>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</si>
  <si>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</si>
  <si>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</si>
  <si>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</si>
  <si>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</si>
  <si>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</si>
  <si>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</si>
  <si>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</si>
  <si>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</si>
  <si>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</si>
  <si>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</si>
  <si>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</si>
  <si>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</si>
  <si>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</si>
  <si>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</si>
  <si>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</si>
  <si>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</si>
  <si>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</si>
  <si>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</si>
  <si>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</si>
  <si>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</si>
  <si>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</si>
  <si>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</si>
  <si>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</si>
  <si>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</si>
  <si>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</si>
  <si>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</si>
  <si>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</si>
  <si>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</si>
  <si>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</si>
  <si>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</si>
  <si>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</si>
  <si>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</si>
  <si>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</si>
  <si>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</si>
  <si>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</si>
  <si>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</si>
  <si>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</si>
  <si>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</si>
  <si>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</si>
  <si>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</si>
  <si>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</si>
  <si>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</si>
  <si>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</si>
  <si>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</si>
  <si>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</si>
  <si>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</si>
  <si>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</si>
  <si>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</si>
  <si>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</si>
  <si>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</si>
  <si>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</si>
  <si>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</si>
  <si>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</si>
  <si>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</si>
  <si>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</si>
  <si>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</si>
  <si>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</si>
  <si>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</si>
  <si>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</si>
  <si>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</si>
  <si>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</si>
  <si>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</si>
  <si>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</si>
  <si>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</si>
  <si>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</si>
  <si>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</si>
  <si>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</si>
  <si>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</si>
  <si>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</si>
  <si>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</si>
  <si>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</si>
  <si>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</si>
  <si>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</si>
  <si>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</si>
  <si>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</si>
  <si>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</si>
  <si>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</si>
  <si>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</si>
  <si>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</si>
  <si>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</si>
  <si>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</si>
  <si>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</si>
  <si>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</si>
  <si>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</si>
  <si>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</si>
  <si>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</si>
  <si>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</si>
  <si>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</si>
  <si>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</si>
  <si>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</si>
  <si>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</si>
  <si>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</si>
  <si>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</si>
  <si>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</si>
  <si>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</si>
  <si>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</si>
  <si>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</si>
  <si>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</si>
  <si>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</si>
  <si>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</si>
  <si>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</si>
  <si>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</si>
  <si>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</si>
  <si>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</si>
  <si>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</si>
  <si>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</si>
  <si>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</si>
  <si>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</si>
  <si>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</si>
  <si>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</si>
  <si>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</si>
  <si>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</si>
  <si>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</si>
  <si>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</si>
  <si>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</si>
  <si>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</si>
  <si>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</si>
  <si>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</si>
  <si>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</si>
  <si>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</si>
  <si>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</si>
  <si>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</si>
  <si>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</si>
  <si>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</si>
  <si>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</si>
  <si>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</si>
  <si>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</si>
  <si>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</si>
  <si>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</si>
  <si>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</si>
  <si>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</si>
  <si>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</si>
  <si>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</si>
  <si>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</si>
  <si>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</si>
  <si>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</si>
  <si>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</si>
  <si>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</si>
  <si>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</si>
  <si>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</si>
  <si>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</si>
  <si>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</si>
  <si>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</si>
  <si>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</si>
  <si>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</si>
  <si>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</si>
  <si>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</si>
  <si>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</si>
  <si>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</si>
  <si>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</si>
  <si>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</si>
  <si>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</si>
  <si>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</si>
  <si>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</si>
  <si>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</si>
  <si>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</si>
  <si>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</si>
  <si>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</si>
  <si>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</si>
  <si>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</si>
  <si>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</si>
  <si>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</si>
  <si>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</si>
  <si>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</si>
  <si>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</si>
  <si>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</si>
  <si>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</si>
  <si>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</si>
  <si>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</si>
  <si>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</si>
  <si>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</si>
  <si>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</si>
  <si>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</si>
  <si>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</si>
  <si>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</si>
  <si>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</si>
  <si>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</si>
  <si>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</si>
  <si>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</si>
  <si>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</si>
  <si>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</si>
  <si>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</si>
  <si>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</si>
  <si>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</si>
  <si>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</si>
  <si>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</si>
  <si>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</si>
  <si>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</si>
  <si>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</si>
  <si>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</si>
  <si>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</si>
  <si>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</si>
  <si>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</si>
  <si>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</si>
  <si>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</si>
  <si>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</si>
  <si>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</si>
  <si>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</si>
  <si>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</si>
  <si>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</si>
  <si>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</si>
  <si>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</si>
  <si>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</si>
  <si>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</si>
  <si>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</si>
  <si>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</si>
  <si>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</si>
  <si>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</si>
  <si>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</si>
  <si>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</si>
  <si>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</si>
  <si>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</si>
  <si>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</si>
  <si>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</si>
  <si>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</si>
  <si>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</si>
  <si>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</si>
  <si>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</si>
  <si>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</si>
  <si>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</si>
  <si>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</si>
  <si>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</si>
  <si>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</si>
  <si>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</si>
  <si>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</si>
  <si>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</si>
  <si>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</si>
  <si>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</si>
  <si>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</si>
  <si>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</si>
  <si>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</si>
  <si>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</si>
  <si>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</si>
  <si>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Baptist Health Plan, Inc.</t>
  </si>
  <si>
    <t>Bluegrass Family Health</t>
  </si>
  <si>
    <t>2015</t>
  </si>
  <si>
    <t>651 Perimeter Dr, Ste 300 Lexington, KY 40517-4136</t>
  </si>
  <si>
    <t>611241101</t>
  </si>
  <si>
    <t>068747</t>
  </si>
  <si>
    <t>95071</t>
  </si>
  <si>
    <t>40586</t>
  </si>
  <si>
    <t>77</t>
  </si>
  <si>
    <t>not applicable</t>
  </si>
  <si>
    <t>none</t>
  </si>
</sst>
</file>

<file path=xl/styles.xml><?xml version="1.0" encoding="utf-8"?>
<styleSheet xmlns="http://schemas.openxmlformats.org/spreadsheetml/2006/main">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0" fillId="28" borderId="29" xfId="56" applyNumberFormat="1"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8" fontId="0" fillId="0" borderId="0" xfId="0" applyNumberFormat="1" applyProtection="1">
      <protection locked="0"/>
    </xf>
    <xf numFmtId="6" fontId="0" fillId="28" borderId="30" xfId="56" applyNumberFormat="1" applyFont="1" applyFill="1" applyBorder="1" applyAlignment="1" applyProtection="1">
      <alignment vertical="top"/>
      <protection locked="0"/>
    </xf>
    <xf numFmtId="6" fontId="0" fillId="28" borderId="27" xfId="56" applyNumberFormat="1" applyFont="1" applyFill="1" applyBorder="1" applyAlignment="1" applyProtection="1">
      <alignment vertical="top"/>
      <protection locked="0"/>
    </xf>
    <xf numFmtId="165" fontId="0" fillId="28" borderId="28" xfId="1"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7"/>
      <tableStyleElement type="secondRowStripe" dxfId="66"/>
      <tableStyleElement type="firstColumnStripe" dxfId="65"/>
      <tableStyleElement type="secondColumnStripe" dxfId="6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2015_RC_KY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LR%202014%20reporting%20year/RC_Resubmission/MLR_2014_KentuckyD.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mpany Information"/>
      <sheetName val="1- RC Plan Level Data - Ind"/>
      <sheetName val="2 - RC Plan Level Data-Sm Group"/>
      <sheetName val="3 - RC Payment or Charge Calc"/>
      <sheetName val="Attestation"/>
    </sheetNames>
    <sheetDataSet>
      <sheetData sheetId="0"/>
      <sheetData sheetId="1"/>
      <sheetData sheetId="2"/>
      <sheetData sheetId="3">
        <row r="12">
          <cell r="E12">
            <v>3061140.6335587641</v>
          </cell>
        </row>
        <row r="13">
          <cell r="E13">
            <v>3061140.6324510784</v>
          </cell>
        </row>
      </sheetData>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12">
          <cell r="O12">
            <v>3419541</v>
          </cell>
        </row>
        <row r="22">
          <cell r="O22">
            <v>0</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0" t="s">
        <v>504</v>
      </c>
      <c r="B4" s="147" t="s">
        <v>45</v>
      </c>
      <c r="C4" s="479" t="s">
        <v>496</v>
      </c>
    </row>
    <row r="5" spans="1:6">
      <c r="B5" s="147" t="s">
        <v>215</v>
      </c>
      <c r="C5" s="479"/>
    </row>
    <row r="6" spans="1:6">
      <c r="B6" s="147" t="s">
        <v>216</v>
      </c>
      <c r="C6" s="479" t="s">
        <v>500</v>
      </c>
    </row>
    <row r="7" spans="1:6">
      <c r="B7" s="147" t="s">
        <v>128</v>
      </c>
      <c r="C7" s="479" t="s">
        <v>501</v>
      </c>
    </row>
    <row r="8" spans="1:6">
      <c r="B8" s="147" t="s">
        <v>36</v>
      </c>
      <c r="C8" s="479"/>
    </row>
    <row r="9" spans="1:6">
      <c r="B9" s="147" t="s">
        <v>41</v>
      </c>
      <c r="C9" s="479" t="s">
        <v>502</v>
      </c>
    </row>
    <row r="10" spans="1:6">
      <c r="B10" s="147" t="s">
        <v>58</v>
      </c>
      <c r="C10" s="479" t="s">
        <v>497</v>
      </c>
    </row>
    <row r="11" spans="1:6">
      <c r="B11" s="147" t="s">
        <v>349</v>
      </c>
      <c r="C11" s="479" t="s">
        <v>503</v>
      </c>
    </row>
    <row r="12" spans="1:6">
      <c r="B12" s="147" t="s">
        <v>35</v>
      </c>
      <c r="C12" s="479" t="s">
        <v>157</v>
      </c>
    </row>
    <row r="13" spans="1:6">
      <c r="B13" s="147" t="s">
        <v>50</v>
      </c>
      <c r="C13" s="479" t="s">
        <v>157</v>
      </c>
    </row>
    <row r="14" spans="1:6">
      <c r="B14" s="147" t="s">
        <v>51</v>
      </c>
      <c r="C14" s="479" t="s">
        <v>499</v>
      </c>
    </row>
    <row r="15" spans="1:6">
      <c r="B15" s="147" t="s">
        <v>217</v>
      </c>
      <c r="C15" s="479" t="s">
        <v>135</v>
      </c>
    </row>
    <row r="16" spans="1:6">
      <c r="B16" s="147" t="s">
        <v>434</v>
      </c>
      <c r="C16" s="478"/>
    </row>
    <row r="17" spans="1:3">
      <c r="B17" s="148" t="s">
        <v>219</v>
      </c>
      <c r="C17" s="481" t="s">
        <v>135</v>
      </c>
    </row>
    <row r="18" spans="1:3">
      <c r="B18" s="147" t="s">
        <v>218</v>
      </c>
      <c r="C18" s="479" t="s">
        <v>133</v>
      </c>
    </row>
    <row r="19" spans="1:3">
      <c r="A19" s="162"/>
      <c r="B19" s="149" t="s">
        <v>53</v>
      </c>
      <c r="C19" s="479" t="s">
        <v>498</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topLeftCell="B1" zoomScale="70" zoomScaleNormal="70" workbookViewId="0">
      <pane xSplit="6570" ySplit="2355" topLeftCell="P4" activePane="bottomRight"/>
      <selection activeCell="B1" sqref="B1"/>
      <selection pane="topRight" activeCell="J1" sqref="J1:J1048576"/>
      <selection pane="bottomLeft" activeCell="B25" sqref="B25:B60"/>
      <selection pane="bottomRight" activeCell="P5" sqref="P5"/>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482">
        <f>'Pt 2 Premium and Claims'!D6+'Pt 2 Premium and Claims'!D5-'Pt 2 Premium and Claims'!D7-'Pt 2 Premium and Claims'!D13+'Pt 2 Premium and Claims'!D14+'Pt 2 Premium and Claims'!D15+'Pt 2 Premium and Claims'!D16+'Pt 2 Premium and Claims'!D17</f>
        <v>18184</v>
      </c>
      <c r="E5" s="482">
        <f>'Pt 2 Premium and Claims'!E6+'Pt 2 Premium and Claims'!E5-'Pt 2 Premium and Claims'!E7-'Pt 2 Premium and Claims'!E13+'Pt 2 Premium and Claims'!E14+'Pt 2 Premium and Claims'!E15+'Pt 2 Premium and Claims'!E16+'Pt 2 Premium and Claims'!E17</f>
        <v>18184</v>
      </c>
      <c r="F5" s="213"/>
      <c r="G5" s="213"/>
      <c r="H5" s="213"/>
      <c r="I5" s="212"/>
      <c r="J5" s="482">
        <f>'Pt 2 Premium and Claims'!J6+'Pt 2 Premium and Claims'!J5-'Pt 2 Premium and Claims'!J7-'Pt 2 Premium and Claims'!J13+'Pt 2 Premium and Claims'!J14+'Pt 2 Premium and Claims'!J15+'Pt 2 Premium and Claims'!J16+'Pt 2 Premium and Claims'!J17</f>
        <v>22696761.63245108</v>
      </c>
      <c r="K5" s="482">
        <f>'Pt 2 Premium and Claims'!K6+'Pt 2 Premium and Claims'!K5-'Pt 2 Premium and Claims'!K7-'Pt 2 Premium and Claims'!K13+'Pt 2 Premium and Claims'!K14+'Pt 2 Premium and Claims'!K15+'Pt 2 Premium and Claims'!K16+'Pt 2 Premium and Claims'!K17</f>
        <v>22696761.63245108</v>
      </c>
      <c r="L5" s="213"/>
      <c r="M5" s="213"/>
      <c r="N5" s="213"/>
      <c r="O5" s="482">
        <f>'Pt 2 Premium and Claims'!O6+'Pt 2 Premium and Claims'!O5-'Pt 2 Premium and Claims'!O7-'Pt 2 Premium and Claims'!O13+'Pt 2 Premium and Claims'!O14+'Pt 2 Premium and Claims'!O15+'Pt 2 Premium and Claims'!O16+'Pt 2 Premium and Claims'!O17</f>
        <v>8463594.4199999999</v>
      </c>
      <c r="P5" s="482">
        <f>'Pt 2 Premium and Claims'!P6+'Pt 2 Premium and Claims'!P5-'Pt 2 Premium and Claims'!P7-'Pt 2 Premium and Claims'!P13+'Pt 2 Premium and Claims'!P14+'Pt 2 Premium and Claims'!P15+'Pt 2 Premium and Claims'!P16+'Pt 2 Premium and Claims'!P17</f>
        <v>109345590</v>
      </c>
      <c r="Q5" s="482">
        <f>'Pt 2 Premium and Claims'!Q6+'Pt 2 Premium and Claims'!Q5-'Pt 2 Premium and Claims'!Q7-'Pt 2 Premium and Claims'!Q13+'Pt 2 Premium and Claims'!Q14+'Pt 2 Premium and Claims'!Q15+'Pt 2 Premium and Claims'!Q16+'Pt 2 Premium and Claims'!Q17</f>
        <v>109345590</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c r="B6" s="239" t="s">
        <v>223</v>
      </c>
      <c r="C6" s="203" t="s">
        <v>12</v>
      </c>
      <c r="D6" s="216">
        <v>0</v>
      </c>
      <c r="E6" s="217"/>
      <c r="F6" s="217"/>
      <c r="G6" s="218"/>
      <c r="H6" s="218"/>
      <c r="I6" s="219"/>
      <c r="J6" s="216">
        <v>0</v>
      </c>
      <c r="K6" s="217"/>
      <c r="L6" s="217"/>
      <c r="M6" s="218"/>
      <c r="N6" s="218"/>
      <c r="O6" s="219"/>
      <c r="P6" s="39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v>0</v>
      </c>
      <c r="E7" s="217"/>
      <c r="F7" s="217"/>
      <c r="G7" s="217"/>
      <c r="H7" s="217"/>
      <c r="I7" s="216"/>
      <c r="J7" s="216">
        <v>0</v>
      </c>
      <c r="K7" s="217"/>
      <c r="L7" s="217"/>
      <c r="M7" s="217"/>
      <c r="N7" s="217"/>
      <c r="O7" s="216"/>
      <c r="P7" s="39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v>-175</v>
      </c>
      <c r="E8" s="268"/>
      <c r="F8" s="269"/>
      <c r="G8" s="269"/>
      <c r="H8" s="269"/>
      <c r="I8" s="272"/>
      <c r="J8" s="216">
        <v>-154724</v>
      </c>
      <c r="K8" s="268"/>
      <c r="L8" s="269"/>
      <c r="M8" s="269"/>
      <c r="N8" s="269"/>
      <c r="O8" s="272"/>
      <c r="P8" s="396">
        <v>-719007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v>0</v>
      </c>
      <c r="E9" s="267"/>
      <c r="F9" s="270"/>
      <c r="G9" s="270"/>
      <c r="H9" s="270"/>
      <c r="I9" s="271"/>
      <c r="J9" s="216">
        <v>0</v>
      </c>
      <c r="K9" s="267"/>
      <c r="L9" s="270"/>
      <c r="M9" s="270"/>
      <c r="N9" s="270"/>
      <c r="O9" s="271"/>
      <c r="P9" s="39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v>0</v>
      </c>
      <c r="E10" s="267"/>
      <c r="F10" s="270"/>
      <c r="G10" s="270"/>
      <c r="H10" s="270"/>
      <c r="I10" s="271"/>
      <c r="J10" s="216">
        <v>0</v>
      </c>
      <c r="K10" s="267"/>
      <c r="L10" s="270"/>
      <c r="M10" s="270"/>
      <c r="N10" s="270"/>
      <c r="O10" s="271"/>
      <c r="P10" s="39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f>'Pt 2 Premium and Claims'!D54</f>
        <v>131515</v>
      </c>
      <c r="E12" s="212">
        <f>'Pt 2 Premium and Claims'!E54</f>
        <v>123278.52830094814</v>
      </c>
      <c r="F12" s="213"/>
      <c r="G12" s="213"/>
      <c r="H12" s="213"/>
      <c r="I12" s="212"/>
      <c r="J12" s="212">
        <f>'Pt 2 Premium and Claims'!J54</f>
        <v>18928573</v>
      </c>
      <c r="K12" s="212">
        <f>'Pt 2 Premium and Claims'!K54</f>
        <v>19114650.374277338</v>
      </c>
      <c r="L12" s="213"/>
      <c r="M12" s="213"/>
      <c r="N12" s="213"/>
      <c r="O12" s="212">
        <f>'Pt 2 Premium and Claims'!O54</f>
        <v>10058795.779999999</v>
      </c>
      <c r="P12" s="212">
        <f>'Pt 2 Premium and Claims'!P54</f>
        <v>101404098</v>
      </c>
      <c r="Q12" s="212">
        <f>'Pt 2 Premium and Claims'!Q54</f>
        <v>103230509.28201787</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c r="B13" s="239" t="s">
        <v>230</v>
      </c>
      <c r="C13" s="203" t="s">
        <v>37</v>
      </c>
      <c r="D13" s="216">
        <v>16414</v>
      </c>
      <c r="E13" s="217">
        <v>16415</v>
      </c>
      <c r="F13" s="217"/>
      <c r="G13" s="268"/>
      <c r="H13" s="269"/>
      <c r="I13" s="216"/>
      <c r="J13" s="216">
        <v>3599896</v>
      </c>
      <c r="K13" s="217">
        <v>3624051</v>
      </c>
      <c r="L13" s="217"/>
      <c r="M13" s="268"/>
      <c r="N13" s="269"/>
      <c r="O13" s="216">
        <v>2068160</v>
      </c>
      <c r="P13" s="216">
        <v>20881549</v>
      </c>
      <c r="Q13" s="217">
        <v>20722246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v>1862</v>
      </c>
      <c r="E14" s="396">
        <v>1862</v>
      </c>
      <c r="F14" s="217"/>
      <c r="G14" s="267"/>
      <c r="H14" s="270"/>
      <c r="I14" s="216"/>
      <c r="J14" s="216">
        <v>408264</v>
      </c>
      <c r="K14" s="217">
        <v>407850.48</v>
      </c>
      <c r="L14" s="217"/>
      <c r="M14" s="267"/>
      <c r="N14" s="270"/>
      <c r="O14" s="216">
        <v>192214.92</v>
      </c>
      <c r="P14" s="216">
        <v>2352775</v>
      </c>
      <c r="Q14" s="217">
        <v>2314859.4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v>0</v>
      </c>
      <c r="K15" s="217"/>
      <c r="L15" s="217"/>
      <c r="M15" s="267"/>
      <c r="N15" s="273"/>
      <c r="O15" s="216"/>
      <c r="P15" s="39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v>-32</v>
      </c>
      <c r="E16" s="268"/>
      <c r="F16" s="269"/>
      <c r="G16" s="270"/>
      <c r="H16" s="270"/>
      <c r="I16" s="272"/>
      <c r="J16" s="216">
        <v>-41411</v>
      </c>
      <c r="K16" s="268"/>
      <c r="L16" s="269"/>
      <c r="M16" s="270"/>
      <c r="N16" s="270"/>
      <c r="O16" s="272"/>
      <c r="P16" s="396">
        <v>189809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v>1302199</v>
      </c>
      <c r="E17" s="267"/>
      <c r="F17" s="270"/>
      <c r="G17" s="270"/>
      <c r="H17" s="270"/>
      <c r="I17" s="271"/>
      <c r="J17" s="216">
        <v>1014578</v>
      </c>
      <c r="K17" s="267"/>
      <c r="L17" s="270"/>
      <c r="M17" s="270"/>
      <c r="N17" s="270"/>
      <c r="O17" s="271"/>
      <c r="P17" s="396">
        <v>1196355</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v>0</v>
      </c>
      <c r="K18" s="267"/>
      <c r="L18" s="270"/>
      <c r="M18" s="270"/>
      <c r="N18" s="273"/>
      <c r="O18" s="271"/>
      <c r="P18" s="39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v>0</v>
      </c>
      <c r="K19" s="267"/>
      <c r="L19" s="270"/>
      <c r="M19" s="270"/>
      <c r="N19" s="270"/>
      <c r="O19" s="271"/>
      <c r="P19" s="39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v>0</v>
      </c>
      <c r="K20" s="267"/>
      <c r="L20" s="270"/>
      <c r="M20" s="270"/>
      <c r="N20" s="270"/>
      <c r="O20" s="271"/>
      <c r="P20" s="39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v>0</v>
      </c>
      <c r="K21" s="267"/>
      <c r="L21" s="270"/>
      <c r="M21" s="270"/>
      <c r="N21" s="270"/>
      <c r="O21" s="271"/>
      <c r="P21" s="39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f>'Pt 2 Premium and Claims'!D55</f>
        <v>0</v>
      </c>
      <c r="E22" s="398">
        <f>'Pt 2 Premium and Claims'!E55</f>
        <v>0</v>
      </c>
      <c r="F22" s="222"/>
      <c r="G22" s="222"/>
      <c r="H22" s="222"/>
      <c r="I22" s="221"/>
      <c r="J22" s="398">
        <f>'Pt 2 Premium and Claims'!J55</f>
        <v>0</v>
      </c>
      <c r="K22" s="398">
        <f>'Pt 2 Premium and Claims'!K55</f>
        <v>0</v>
      </c>
      <c r="L22" s="222"/>
      <c r="M22" s="222"/>
      <c r="N22" s="222"/>
      <c r="O22" s="398">
        <f>'Pt 2 Premium and Claims'!O55</f>
        <v>0</v>
      </c>
      <c r="P22" s="398">
        <f>'Pt 2 Premium and Claims'!P55</f>
        <v>0</v>
      </c>
      <c r="Q22" s="398">
        <f>'Pt 2 Premium and Claims'!Q55</f>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600.09350555398248</v>
      </c>
      <c r="E25" s="396">
        <v>600.09350555398248</v>
      </c>
      <c r="F25" s="217"/>
      <c r="G25" s="217"/>
      <c r="H25" s="217"/>
      <c r="I25" s="216"/>
      <c r="J25" s="216">
        <v>419459.50137166679</v>
      </c>
      <c r="K25" s="396">
        <v>419459.50137166679</v>
      </c>
      <c r="L25" s="217"/>
      <c r="M25" s="217"/>
      <c r="N25" s="217"/>
      <c r="O25" s="216">
        <v>194641.10385984118</v>
      </c>
      <c r="P25" s="216">
        <v>1911694.4988925273</v>
      </c>
      <c r="Q25" s="396">
        <v>1911694.4988925273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v>9.18</v>
      </c>
      <c r="E26" s="396">
        <v>9.18</v>
      </c>
      <c r="F26" s="217"/>
      <c r="G26" s="217"/>
      <c r="H26" s="217"/>
      <c r="I26" s="216"/>
      <c r="J26" s="216">
        <v>10369.08</v>
      </c>
      <c r="K26" s="396">
        <v>10369.08</v>
      </c>
      <c r="L26" s="217"/>
      <c r="M26" s="217"/>
      <c r="N26" s="217"/>
      <c r="O26" s="216">
        <v>4811.5471710884185</v>
      </c>
      <c r="P26" s="216">
        <v>54467.28</v>
      </c>
      <c r="Q26" s="396">
        <v>54467.28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v>152.55649444601767</v>
      </c>
      <c r="E27" s="396">
        <v>152.55649444601767</v>
      </c>
      <c r="F27" s="217"/>
      <c r="G27" s="217"/>
      <c r="H27" s="217"/>
      <c r="I27" s="216"/>
      <c r="J27" s="216">
        <v>199349.39862833318</v>
      </c>
      <c r="K27" s="396">
        <v>199349.39862833318</v>
      </c>
      <c r="L27" s="217"/>
      <c r="M27" s="217"/>
      <c r="N27" s="217"/>
      <c r="O27" s="216">
        <v>92503.774204493937</v>
      </c>
      <c r="P27" s="216">
        <v>892892.90110747295</v>
      </c>
      <c r="Q27" s="396">
        <v>892892.90110747295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396"/>
      <c r="F28" s="397"/>
      <c r="G28" s="217"/>
      <c r="H28" s="217"/>
      <c r="I28" s="396"/>
      <c r="J28" s="217"/>
      <c r="K28" s="397"/>
      <c r="L28" s="217"/>
      <c r="M28" s="217"/>
      <c r="N28" s="217"/>
      <c r="O28" s="216"/>
      <c r="P28" s="217"/>
      <c r="Q28" s="39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27</v>
      </c>
      <c r="E30" s="217">
        <v>27</v>
      </c>
      <c r="F30" s="217"/>
      <c r="G30" s="217"/>
      <c r="H30" s="217"/>
      <c r="I30" s="216"/>
      <c r="J30" s="216">
        <v>23957</v>
      </c>
      <c r="K30" s="217">
        <v>23957</v>
      </c>
      <c r="L30" s="217"/>
      <c r="M30" s="217"/>
      <c r="N30" s="217"/>
      <c r="O30" s="485">
        <v>11116.727383506082</v>
      </c>
      <c r="P30" s="216">
        <v>113133</v>
      </c>
      <c r="Q30" s="217">
        <v>113133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v>0</v>
      </c>
      <c r="E32" s="217"/>
      <c r="F32" s="217"/>
      <c r="G32" s="217"/>
      <c r="H32" s="217"/>
      <c r="I32" s="216"/>
      <c r="J32" s="216">
        <v>0</v>
      </c>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187.17</v>
      </c>
      <c r="E34" s="396">
        <v>187.17</v>
      </c>
      <c r="F34" s="217"/>
      <c r="G34" s="217"/>
      <c r="H34" s="217"/>
      <c r="I34" s="216"/>
      <c r="J34" s="216">
        <v>211414.02</v>
      </c>
      <c r="K34" s="396">
        <v>211414.02</v>
      </c>
      <c r="L34" s="217"/>
      <c r="M34" s="217"/>
      <c r="N34" s="217"/>
      <c r="O34" s="216">
        <v>98102.100654969428</v>
      </c>
      <c r="P34" s="216">
        <v>1110527.32</v>
      </c>
      <c r="Q34" s="396">
        <v>1110527.32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v>181.84</v>
      </c>
      <c r="E35" s="396">
        <v>181.84</v>
      </c>
      <c r="F35" s="217"/>
      <c r="G35" s="217"/>
      <c r="H35" s="217"/>
      <c r="I35" s="216"/>
      <c r="J35" s="216">
        <v>237614.89</v>
      </c>
      <c r="K35" s="396">
        <v>237614.89</v>
      </c>
      <c r="L35" s="217"/>
      <c r="M35" s="217"/>
      <c r="N35" s="217"/>
      <c r="O35" s="216">
        <v>110260.04735116191</v>
      </c>
      <c r="P35" s="216">
        <v>1064285.3700000001</v>
      </c>
      <c r="Q35" s="396">
        <v>1064285.3700000001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ht="13.5" thickTop="1">
      <c r="B37" s="244" t="s">
        <v>253</v>
      </c>
      <c r="C37" s="202" t="s">
        <v>15</v>
      </c>
      <c r="D37" s="224">
        <v>64</v>
      </c>
      <c r="E37" s="401">
        <v>64</v>
      </c>
      <c r="F37" s="225"/>
      <c r="G37" s="225"/>
      <c r="H37" s="225"/>
      <c r="I37" s="224"/>
      <c r="J37" s="224">
        <v>80538</v>
      </c>
      <c r="K37" s="225">
        <v>121486.64900848237</v>
      </c>
      <c r="L37" s="225"/>
      <c r="M37" s="225"/>
      <c r="N37" s="225"/>
      <c r="O37" s="224">
        <v>56373.250313603043</v>
      </c>
      <c r="P37" s="224">
        <v>367925</v>
      </c>
      <c r="Q37" s="225">
        <v>583022.34047444246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v>16</v>
      </c>
      <c r="E38" s="396">
        <v>16</v>
      </c>
      <c r="F38" s="217"/>
      <c r="G38" s="217"/>
      <c r="H38" s="217"/>
      <c r="I38" s="216"/>
      <c r="J38" s="216">
        <v>20800</v>
      </c>
      <c r="K38" s="217">
        <v>29297.461059999998</v>
      </c>
      <c r="L38" s="217"/>
      <c r="M38" s="217"/>
      <c r="N38" s="217"/>
      <c r="O38" s="216">
        <v>13594.852762570652</v>
      </c>
      <c r="P38" s="216">
        <v>95022</v>
      </c>
      <c r="Q38" s="217">
        <v>139657.93596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v>39</v>
      </c>
      <c r="E39" s="396">
        <v>39</v>
      </c>
      <c r="F39" s="217"/>
      <c r="G39" s="217"/>
      <c r="H39" s="217"/>
      <c r="I39" s="216"/>
      <c r="J39" s="216">
        <v>49040</v>
      </c>
      <c r="K39" s="217">
        <v>57114.632988482386</v>
      </c>
      <c r="L39" s="217"/>
      <c r="M39" s="217"/>
      <c r="N39" s="217"/>
      <c r="O39" s="216">
        <v>26502.809389404432</v>
      </c>
      <c r="P39" s="216">
        <v>224033</v>
      </c>
      <c r="Q39" s="217">
        <v>266447.8811544425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v>33</v>
      </c>
      <c r="E40" s="396">
        <v>33</v>
      </c>
      <c r="F40" s="217"/>
      <c r="G40" s="217"/>
      <c r="H40" s="217"/>
      <c r="I40" s="216"/>
      <c r="J40" s="216">
        <v>41287</v>
      </c>
      <c r="K40" s="217">
        <v>42574.494100000004</v>
      </c>
      <c r="L40" s="217"/>
      <c r="M40" s="217"/>
      <c r="N40" s="217"/>
      <c r="O40" s="216">
        <v>19755.77260927446</v>
      </c>
      <c r="P40" s="216">
        <v>188611</v>
      </c>
      <c r="Q40" s="217">
        <v>195374.02059999999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v>94</v>
      </c>
      <c r="E41" s="396">
        <v>94</v>
      </c>
      <c r="F41" s="217"/>
      <c r="G41" s="217"/>
      <c r="H41" s="217"/>
      <c r="I41" s="216"/>
      <c r="J41" s="216">
        <v>118590</v>
      </c>
      <c r="K41" s="396">
        <v>118590</v>
      </c>
      <c r="L41" s="217"/>
      <c r="M41" s="217"/>
      <c r="N41" s="217"/>
      <c r="O41" s="216">
        <v>55029.123029176706</v>
      </c>
      <c r="P41" s="216">
        <v>541759</v>
      </c>
      <c r="Q41" s="396">
        <v>541759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v>0</v>
      </c>
      <c r="E42" s="396">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157</v>
      </c>
      <c r="E44" s="401">
        <v>157</v>
      </c>
      <c r="F44" s="225"/>
      <c r="G44" s="225"/>
      <c r="H44" s="225"/>
      <c r="I44" s="224"/>
      <c r="J44" s="224">
        <v>185707</v>
      </c>
      <c r="K44" s="401">
        <v>185707</v>
      </c>
      <c r="L44" s="225"/>
      <c r="M44" s="225"/>
      <c r="N44" s="225"/>
      <c r="O44" s="224">
        <v>86173.314363599959</v>
      </c>
      <c r="P44" s="224">
        <v>920096</v>
      </c>
      <c r="Q44" s="401">
        <v>920096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v>474</v>
      </c>
      <c r="E45" s="396">
        <v>474</v>
      </c>
      <c r="F45" s="217"/>
      <c r="G45" s="217"/>
      <c r="H45" s="217"/>
      <c r="I45" s="216"/>
      <c r="J45" s="216">
        <v>600556</v>
      </c>
      <c r="K45" s="396">
        <v>600556</v>
      </c>
      <c r="L45" s="217"/>
      <c r="M45" s="217"/>
      <c r="N45" s="217"/>
      <c r="O45" s="216">
        <v>278675.01484029216</v>
      </c>
      <c r="P45" s="216">
        <v>2743533</v>
      </c>
      <c r="Q45" s="396">
        <v>2743533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v>165</v>
      </c>
      <c r="E46" s="396">
        <v>165</v>
      </c>
      <c r="F46" s="217"/>
      <c r="G46" s="217"/>
      <c r="H46" s="217"/>
      <c r="I46" s="216"/>
      <c r="J46" s="216">
        <v>145788</v>
      </c>
      <c r="K46" s="396">
        <v>145788</v>
      </c>
      <c r="L46" s="217"/>
      <c r="M46" s="217"/>
      <c r="N46" s="217"/>
      <c r="O46" s="216">
        <v>67649.766322435404</v>
      </c>
      <c r="P46" s="216">
        <v>622214</v>
      </c>
      <c r="Q46" s="396">
        <v>622214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v>793</v>
      </c>
      <c r="E47" s="396">
        <v>793</v>
      </c>
      <c r="F47" s="217"/>
      <c r="G47" s="217"/>
      <c r="H47" s="217"/>
      <c r="I47" s="216"/>
      <c r="J47" s="216">
        <v>703127</v>
      </c>
      <c r="K47" s="396">
        <v>703127</v>
      </c>
      <c r="L47" s="217"/>
      <c r="M47" s="217"/>
      <c r="N47" s="217"/>
      <c r="O47" s="216">
        <v>326270.86759537843</v>
      </c>
      <c r="P47" s="216">
        <v>3319055</v>
      </c>
      <c r="Q47" s="396">
        <v>3319055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2592</v>
      </c>
      <c r="E51" s="217">
        <v>2672</v>
      </c>
      <c r="F51" s="217"/>
      <c r="G51" s="217"/>
      <c r="H51" s="217"/>
      <c r="I51" s="216"/>
      <c r="J51" s="216">
        <v>2297063</v>
      </c>
      <c r="K51" s="217">
        <v>2313972</v>
      </c>
      <c r="L51" s="217"/>
      <c r="M51" s="217"/>
      <c r="N51" s="217"/>
      <c r="O51" s="396">
        <v>1073748.6286707993</v>
      </c>
      <c r="P51" s="216">
        <v>10851404</v>
      </c>
      <c r="Q51" s="217">
        <v>10940145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23</v>
      </c>
      <c r="E53" s="396">
        <v>23</v>
      </c>
      <c r="F53" s="217"/>
      <c r="G53" s="268"/>
      <c r="H53" s="268"/>
      <c r="I53" s="216"/>
      <c r="J53" s="216">
        <v>20601</v>
      </c>
      <c r="K53" s="396">
        <v>20601</v>
      </c>
      <c r="L53" s="217"/>
      <c r="M53" s="268"/>
      <c r="N53" s="268"/>
      <c r="O53" s="396">
        <v>9559.4482125311515</v>
      </c>
      <c r="P53" s="216">
        <v>97288</v>
      </c>
      <c r="Q53" s="396">
        <v>97288</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4</v>
      </c>
      <c r="E56" s="229">
        <v>4</v>
      </c>
      <c r="F56" s="229"/>
      <c r="G56" s="229"/>
      <c r="H56" s="229"/>
      <c r="I56" s="228"/>
      <c r="J56" s="228">
        <v>2872</v>
      </c>
      <c r="K56" s="403">
        <v>2872</v>
      </c>
      <c r="L56" s="229"/>
      <c r="M56" s="229"/>
      <c r="N56" s="229"/>
      <c r="O56" s="228">
        <v>1485</v>
      </c>
      <c r="P56" s="228">
        <v>14403</v>
      </c>
      <c r="Q56" s="403">
        <v>14403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4</v>
      </c>
      <c r="E57" s="232">
        <v>4</v>
      </c>
      <c r="F57" s="232"/>
      <c r="G57" s="232"/>
      <c r="H57" s="232"/>
      <c r="I57" s="231"/>
      <c r="J57" s="231">
        <v>4874</v>
      </c>
      <c r="K57" s="231">
        <v>4874</v>
      </c>
      <c r="L57" s="232"/>
      <c r="M57" s="232"/>
      <c r="N57" s="232"/>
      <c r="O57" s="231">
        <v>2478</v>
      </c>
      <c r="P57" s="231">
        <v>24493</v>
      </c>
      <c r="Q57" s="231">
        <v>24493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v>350</v>
      </c>
      <c r="K58" s="231">
        <v>350</v>
      </c>
      <c r="L58" s="232"/>
      <c r="M58" s="232"/>
      <c r="N58" s="232"/>
      <c r="O58" s="231">
        <v>232</v>
      </c>
      <c r="P58" s="231">
        <v>127</v>
      </c>
      <c r="Q58" s="231">
        <v>127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51</v>
      </c>
      <c r="E59" s="232">
        <v>51</v>
      </c>
      <c r="F59" s="232"/>
      <c r="G59" s="232"/>
      <c r="H59" s="232"/>
      <c r="I59" s="231"/>
      <c r="J59" s="231">
        <v>57606</v>
      </c>
      <c r="K59" s="231">
        <v>57606</v>
      </c>
      <c r="L59" s="232"/>
      <c r="M59" s="232"/>
      <c r="N59" s="232"/>
      <c r="O59" s="231">
        <v>27149</v>
      </c>
      <c r="P59" s="231">
        <v>302596</v>
      </c>
      <c r="Q59" s="231">
        <v>302596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f>D59/12</f>
        <v>4.25</v>
      </c>
      <c r="E60" s="234">
        <f>E59/12</f>
        <v>4.25</v>
      </c>
      <c r="F60" s="235"/>
      <c r="G60" s="235"/>
      <c r="H60" s="235"/>
      <c r="I60" s="234"/>
      <c r="J60" s="234">
        <f>J59/12</f>
        <v>4800.5</v>
      </c>
      <c r="K60" s="234">
        <f>K59/12</f>
        <v>4800.5</v>
      </c>
      <c r="L60" s="235"/>
      <c r="M60" s="235"/>
      <c r="N60" s="235"/>
      <c r="O60" s="234">
        <f>O59/12</f>
        <v>2262.4166666666665</v>
      </c>
      <c r="P60" s="234">
        <f>P59/12</f>
        <v>25216.333333333332</v>
      </c>
      <c r="Q60" s="234">
        <f>Q59/12</f>
        <v>25216.333333333332</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8660934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D34:AD35 P13:P21 AS53 G56:I57 G59:I59 D59 D56:D57 G7:I7 D6:D10 D13:D21 E13:F15 AI34:AI35 AQ56:AR57 AQ59:AR59 AN59 AN56:AN57 M7:O7 J6:J10 S7:T7 U6:U10 X6:X10 AA6:AA10 AD6:AD10 AI6:AI10 AS6:AU10 I13:I15 K13:L15 J13:J21 O13:O15 U13:U21 V13:W15 X13:X21 Y13:Z15 AA13:AA21 AB13:AC15 AD13:AD21 AI13:AI21 AS13:AU21 U53:AD53 AI25:AI28 AI30:AI32 AN25:AR28 AN34:AR35 AS25:AV26 AS27:AU27 AS28:AV28 AN30:AV32 AI44:AI47 AI49:AI53 AI37:AI42 AN49:AS52 AN53:AP53 AT49:AV53 AN37:AV42 AN44:AV47 AS35:AV35 AW61:AW62 M56:Q59 J56:K59 S56:W57 S59:W59 S58:T58 X56:X59 AA56:AA59 Q13:R15 AQ7:AR7 AO13:AP15 AN6:AN10 AN13:AN21 AT34:AV34 P6:P10 D30:N32 P30:AD32 O31:O32 D49:AD52 I53:L53 D53:F53 O53:R53 D25:AD28 D37:AD42 D44:AD47">
    <cfRule type="cellIs" dxfId="63" priority="43" stopIfTrue="1" operator="lessThan">
      <formula>0</formula>
    </cfRule>
  </conditionalFormatting>
  <dataValidations xWindow="862" yWindow="26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G25:AD28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AS58:AU58 D30:AD32 D34:AD35 D37:AD42 D44:AD47 D49:AD52 D56:AD57 AV56:AV59 E25:F27 D25:D28 V6:W7"/>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7"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topLeftCell="B1" zoomScale="70" zoomScaleNormal="70" workbookViewId="0">
      <pane xSplit="6450" ySplit="2355" topLeftCell="P40" activePane="bottomRight"/>
      <selection activeCell="B1" sqref="B1"/>
      <selection pane="topRight" activeCell="D1" sqref="D1"/>
      <selection pane="bottomLeft" activeCell="B11" sqref="B11"/>
      <selection pane="bottomRight" activeCell="Q54" sqref="Q54"/>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18184</v>
      </c>
      <c r="E5" s="401">
        <v>18184</v>
      </c>
      <c r="F5" s="326"/>
      <c r="G5" s="328"/>
      <c r="H5" s="328"/>
      <c r="I5" s="325"/>
      <c r="J5" s="325">
        <v>20844436</v>
      </c>
      <c r="K5" s="401">
        <v>20844436</v>
      </c>
      <c r="L5" s="326"/>
      <c r="M5" s="326"/>
      <c r="N5" s="326"/>
      <c r="O5" s="325">
        <v>9672409.4199999999</v>
      </c>
      <c r="P5" s="325">
        <v>109345590</v>
      </c>
      <c r="Q5" s="401">
        <v>109345590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v>845782</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v>975504</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96">
        <v>316472</v>
      </c>
      <c r="Q11" s="319">
        <v>89940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v>86084</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v>-1208815</v>
      </c>
      <c r="K16" s="396">
        <v>-1208815</v>
      </c>
      <c r="L16" s="319"/>
      <c r="M16" s="319"/>
      <c r="N16" s="319"/>
      <c r="O16" s="396">
        <v>-1208815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61">
        <f>'[1]3 - RC Payment or Charge Calc'!$E$13</f>
        <v>3061140.6324510784</v>
      </c>
      <c r="K17" s="361">
        <f>'[1]3 - RC Payment or Charge Calc'!$E$13</f>
        <v>3061140.6324510784</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117922</v>
      </c>
      <c r="E23" s="362"/>
      <c r="F23" s="362"/>
      <c r="G23" s="362"/>
      <c r="H23" s="362"/>
      <c r="I23" s="364"/>
      <c r="J23" s="318">
        <v>18971244</v>
      </c>
      <c r="K23" s="362"/>
      <c r="L23" s="362"/>
      <c r="M23" s="362"/>
      <c r="N23" s="362"/>
      <c r="O23" s="364"/>
      <c r="P23" s="318">
        <v>100742215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120354.98878360662</v>
      </c>
      <c r="F24" s="319"/>
      <c r="G24" s="319"/>
      <c r="H24" s="319"/>
      <c r="I24" s="318"/>
      <c r="J24" s="365"/>
      <c r="K24" s="319">
        <v>18690863.002269857</v>
      </c>
      <c r="L24" s="319"/>
      <c r="M24" s="319"/>
      <c r="N24" s="319"/>
      <c r="O24" s="318">
        <v>9835783.7799999993</v>
      </c>
      <c r="P24" s="365"/>
      <c r="Q24" s="319">
        <v>99936976.063282162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14878</v>
      </c>
      <c r="E26" s="362"/>
      <c r="F26" s="362"/>
      <c r="G26" s="362"/>
      <c r="H26" s="362"/>
      <c r="I26" s="364"/>
      <c r="J26" s="318">
        <v>2175680</v>
      </c>
      <c r="K26" s="362"/>
      <c r="L26" s="362"/>
      <c r="M26" s="362"/>
      <c r="N26" s="362"/>
      <c r="O26" s="364"/>
      <c r="P26" s="318">
        <v>11514556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v>2923.5395173415145</v>
      </c>
      <c r="F27" s="319"/>
      <c r="G27" s="319"/>
      <c r="H27" s="319"/>
      <c r="I27" s="318"/>
      <c r="J27" s="365"/>
      <c r="K27" s="319">
        <v>423787.37200748175</v>
      </c>
      <c r="L27" s="319"/>
      <c r="M27" s="319"/>
      <c r="N27" s="319"/>
      <c r="O27" s="318">
        <v>223012</v>
      </c>
      <c r="P27" s="365"/>
      <c r="Q27" s="319">
        <v>2228089.2187357065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1293</v>
      </c>
      <c r="E28" s="363"/>
      <c r="F28" s="363"/>
      <c r="G28" s="363"/>
      <c r="H28" s="363"/>
      <c r="I28" s="365"/>
      <c r="J28" s="318">
        <v>2220535</v>
      </c>
      <c r="K28" s="363"/>
      <c r="L28" s="363"/>
      <c r="M28" s="363"/>
      <c r="N28" s="363"/>
      <c r="O28" s="365"/>
      <c r="P28" s="318">
        <v>11950087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845782</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97">
        <v>975504</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316472</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97">
        <v>89940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86084</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c r="F45" s="319"/>
      <c r="G45" s="319"/>
      <c r="H45" s="319"/>
      <c r="I45" s="318"/>
      <c r="J45" s="318">
        <v>0</v>
      </c>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v>0</v>
      </c>
      <c r="E46" s="319"/>
      <c r="F46" s="319"/>
      <c r="G46" s="319"/>
      <c r="H46" s="319"/>
      <c r="I46" s="318"/>
      <c r="J46" s="318">
        <v>0</v>
      </c>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10</v>
      </c>
      <c r="E49" s="319"/>
      <c r="F49" s="319"/>
      <c r="G49" s="319"/>
      <c r="H49" s="319"/>
      <c r="I49" s="318"/>
      <c r="J49" s="318">
        <v>12672</v>
      </c>
      <c r="K49" s="319"/>
      <c r="L49" s="319"/>
      <c r="M49" s="319"/>
      <c r="N49" s="319"/>
      <c r="O49" s="318"/>
      <c r="P49" s="318">
        <v>57879</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v>18</v>
      </c>
      <c r="E50" s="363"/>
      <c r="F50" s="363"/>
      <c r="G50" s="363"/>
      <c r="H50" s="363"/>
      <c r="I50" s="365"/>
      <c r="J50" s="318">
        <v>14856</v>
      </c>
      <c r="K50" s="363"/>
      <c r="L50" s="363"/>
      <c r="M50" s="363"/>
      <c r="N50" s="363"/>
      <c r="O50" s="365"/>
      <c r="P50" s="318">
        <v>79123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c r="F52" s="319"/>
      <c r="G52" s="319"/>
      <c r="H52" s="319"/>
      <c r="I52" s="318"/>
      <c r="J52" s="318">
        <v>0</v>
      </c>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v>0</v>
      </c>
      <c r="E53" s="319"/>
      <c r="F53" s="319"/>
      <c r="G53" s="319"/>
      <c r="H53" s="319"/>
      <c r="I53" s="318"/>
      <c r="J53" s="318">
        <v>0</v>
      </c>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96">
        <f>D23+D26-D28+D30-D32+D34-D36+D38+D41-D43+D45+D46-D47-D49+D50+D51+D52+D53</f>
        <v>131515</v>
      </c>
      <c r="E54" s="97">
        <f>E24+E27+E31+E35-E36+E39+E42+E45+E46-E49+E51+E52+E53</f>
        <v>123278.52830094814</v>
      </c>
      <c r="F54" s="323"/>
      <c r="G54" s="323"/>
      <c r="H54" s="323"/>
      <c r="I54" s="97"/>
      <c r="J54" s="96">
        <f>J23+J26-J28+J30-J32+J34-J36+J38+J41-J43+J45+J46-J47-J49+J50+J51+J52+J53</f>
        <v>18928573</v>
      </c>
      <c r="K54" s="97">
        <f>K24+K27+K31+K35-K36+K39+K42+K45+K46-K49+K51+K52+K53</f>
        <v>19114650.374277338</v>
      </c>
      <c r="L54" s="323"/>
      <c r="M54" s="323"/>
      <c r="N54" s="323"/>
      <c r="O54" s="97">
        <f>O24+O27+O31+O35-O36+O39+O42+O45+O46-O49+O51+O52+O53</f>
        <v>10058795.779999999</v>
      </c>
      <c r="P54" s="96">
        <f>P23+P26-P28+P30-P32+P34-P36+P38+P41-P43+P45+P46-P47-P49+P50+P51+P52+P53</f>
        <v>101404098</v>
      </c>
      <c r="Q54" s="97">
        <f>Q24+Q27+Q31+Q35-Q36+Q39+Q42+Q45+Q46-Q49+Q51+Q52+Q53</f>
        <v>103230509.28201787</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c r="B55" s="348" t="s">
        <v>493</v>
      </c>
      <c r="C55" s="335" t="s">
        <v>28</v>
      </c>
      <c r="D55" s="96">
        <f>MIN(D56:D57)</f>
        <v>0</v>
      </c>
      <c r="E55" s="96">
        <f>MIN(E56:E57)</f>
        <v>0</v>
      </c>
      <c r="F55" s="323"/>
      <c r="G55" s="323"/>
      <c r="H55" s="323"/>
      <c r="I55" s="322"/>
      <c r="J55" s="96">
        <f>MIN(J56:J57)</f>
        <v>0</v>
      </c>
      <c r="K55" s="96">
        <f>MIN(K56:K57)</f>
        <v>0</v>
      </c>
      <c r="L55" s="323"/>
      <c r="M55" s="323"/>
      <c r="N55" s="323"/>
      <c r="O55" s="96">
        <f>MIN(O56:O57)</f>
        <v>0</v>
      </c>
      <c r="P55" s="96">
        <f>MIN(P56:P57)</f>
        <v>0</v>
      </c>
      <c r="Q55" s="96">
        <f>MIN(Q56:Q57)</f>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c r="B56" s="343" t="s">
        <v>120</v>
      </c>
      <c r="C56" s="335" t="s">
        <v>412</v>
      </c>
      <c r="D56" s="318">
        <v>0</v>
      </c>
      <c r="E56" s="396">
        <v>0</v>
      </c>
      <c r="F56" s="319"/>
      <c r="G56" s="319"/>
      <c r="H56" s="319"/>
      <c r="I56" s="318"/>
      <c r="J56" s="318">
        <v>0</v>
      </c>
      <c r="K56" s="396">
        <v>0</v>
      </c>
      <c r="L56" s="319"/>
      <c r="M56" s="319"/>
      <c r="N56" s="319"/>
      <c r="O56" s="318">
        <v>0</v>
      </c>
      <c r="P56" s="318">
        <v>0</v>
      </c>
      <c r="Q56" s="396">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96">
        <v>0</v>
      </c>
      <c r="F57" s="319"/>
      <c r="G57" s="319"/>
      <c r="H57" s="319"/>
      <c r="I57" s="318"/>
      <c r="J57" s="318">
        <v>0</v>
      </c>
      <c r="K57" s="396">
        <v>0</v>
      </c>
      <c r="L57" s="319"/>
      <c r="M57" s="319"/>
      <c r="N57" s="319"/>
      <c r="O57" s="318">
        <v>0</v>
      </c>
      <c r="P57" s="318">
        <v>0</v>
      </c>
      <c r="Q57" s="396">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AA11:AA14 D5:D7 J5:J7 P5:P7 U5:U7 X5:X7 AA5:AA7 AD5:AD7 AI5:AI7 AN5:AN7 AS5:AU7 D9 D11:D20 E10:I11 E13:I16 E18:I20 H17 D23 D26 D28 D30 D32 D34 D38 D41 D43 D47 D50 E24:I24 E27:I27 E31:I31 E35:I35 E39:I39 E42:I42 D58:I58 J9 J11:J14 K10:O11 K13:O14 Q39:T39 L17:N17 P12:P14 P9 Q10:T11 Q13:T14 U9 U11:U14 V10:W11 V13:W14 X9 X11:X14 Y10:Z11 Y13:Z14 AA9 AB10:AC11 AB13:AC14 AD9 AD11:AD14 AI9 AI11:AI14 AI18:AI19 AN9 AN11:AN14 AO10:AR11 AS9:AU9 AS11:AU12 AO13:AU14 AN18:AU19 J23 J26 J28 J30 J32 J34 J38 J41 J43 J47 J50 K24:O24 K27:O27 K31:O31 K35:O35 K39:O39 K42:O42 P23 P26 P28 P30 P32 P34 P38 P41 P43 P47 P50 Q24:T24 Q27:T27 Q31:T31 Q35:T35 U23 U26 U28 U30 U32 U34 U38 U41 U43 U47 U50 V24:W24 V27:W27 V31:W31 V35:W35 V39:W39 V42:W42 X23 X26 X28 X30 X32 X34 X38 X41 X43 X47 X50 Y24:Z24 Y27:Z27 Y31:Z31 Y35:Z35 Y39:Z39 Y42:Z42 AA23 AA26 AA28 AA30 AA32 AA34 AA38 AA41 AA43 AA47 AA50 AB24:AC24 AB27:AC27 AB31:AC31 AB35:AC35 AB39:AC39 AB42:AC42 D45:AC46 D49:AC49 D51:AC53 AN23 AN26 AN28 AN30 AN32 AN34 AN38 AN41 AN43 AN47 AN50 AO24:AR24 AO27:AR27 AO31:AR31 AO35:AR35 AO39:AR39 AO42:AR42 AN46:AR46 AN49:AR49 AD23 AD26 AD28 AD30 AD32 AD34 AD38 AD41 D36:AD36 AD45:AD47 AD49:AD53 AI23 AI26 AI28 AI30 AI32 AI34 AI38 AI41 AI43 AI36 AI45:AI47 AI49:AI53 AI56:AI57 AN56:AV57 AS23:AU23 AS26:AU26 AS28:AU28 AS30:AU30 AS32:AU32 AS34:AU34 AN36:AU36 AS38:AU38 AS41:AU41 AS43:AU43 AS46:AU47 AS49:AU50 AN51:AU53 AN45:AU45 E5 D56:AD57 J16:O16 J18:AD19 K5 Q5 Q42:T42">
    <cfRule type="cellIs" dxfId="62" priority="383" stopIfTrue="1" operator="lessThan">
      <formula>0</formula>
    </cfRule>
  </conditionalFormatting>
  <conditionalFormatting sqref="P11">
    <cfRule type="cellIs" dxfId="61" priority="1" stopIfTrue="1" operator="lessThan">
      <formula>0</formula>
    </cfRule>
  </conditionalFormatting>
  <dataValidations xWindow="1162" yWindow="296" count="6">
    <dataValidation allowBlank="1" showErrorMessage="1" prompt="Non input cell – does not accept input from user" sqref="AV11:AW12"/>
    <dataValidation allowBlank="1" showInputMessage="1" showErrorMessage="1" prompt="Requires calculation from user" sqref="D54:AD55 AN54:AU55 AI54:AI55"/>
    <dataValidation allowBlank="1" showInputMessage="1" showErrorMessage="1" prompt="Does not accept input from user" sqref="E9:I9 AS44:AU44 D4:AD4 J58:AD58 AS37:AU37 AN37 AI37 AD37 AA37 X37 U37 P37 J37 D37 AS21:AU22 AN21:AN22 AI21:AI22 AD21:AD22 AA21:AA22 X21:X22 U21:U22 P21:P22 J21:J22 D21:D22 AS24:AU25 AN24:AN25 AI24:AI25 AD24:AD25 AA24:AA25 X24:X25 U24:U25 P24:P25 J24:J25 D24:D25 I17 O17 AN58:AV58 AI58 AN15:AU17 AI15:AI17 P15:AD17 AD42:AD44 AE4:AH58 AJ4:AM58 D8:AD8 AW56:AW58 AV13:AW55 AV4:AW10 AS10:AU10 AS27:AU27 AS31:AU31 AS33:AU33 AS35:AU35 AS39:AU40 AS42:AU42 AS48:AU48 AS29:AU29 AO12:AR12 AN10 AO9:AR9 AN27 AN31 AN33 AN35 AN39:AN40 AN42 AN44 AN48 AO50:AR50 AO47:AR48 AO43:AR44 AO40:AR41 AO37:AR38 AO32:AR34 AO28:AR30 AO25:AR26 AO21:AR23 AN29 AN8:AU8 AN4:AU4 AI10 AI27 AI31 AI33 AI35 AI39:AI40 AI42 AI44 AI48 AI29 AI8 AI4 AD10 AD27 AD31 AD33 AD35 AD39:AD40 AD48 AD29 AB12:AC12 AA10 AB9:AC9 AA27 AA31 AA33 AA35 AA39:AA40 AA42 AA44 AA48 AB50:AC50 AB47:AC48 AB43:AC44 AB40:AC41 AB37:AC38 AB32:AC34 AB28:AC30 AB25:AC26 AB21:AC23 AA29 Y12:Z12 X10 Y9:Z9 X27 X31 X33 X35 X39:X40 X42 X44 X48 Y50:Z50 Y47:Z48 Y43:Z44 Y40:Z41 Y37:Z38 Y32:Z34 Y28:Z30 Y25:Z26 Y21:Z23 X29 V12:W12 U10 V9:W9 U27 U31 U33 U35 U39:U40 U42 U44 U48 V50:W50 V47:W48 V43:W44 V40:W41 V37:W38 V32:W34 V28:W30 V25:W26 V21:W23 U29 Q12:T12 P10 Q9:T9 P27 P31 P33 P35 P39:P40 P42 P44 P48 Q50:T50 Q47:T48 Q43:T44 Q40:T41 Q37:T38 Q32:T34 Q28:T30 Q25:T26 Q21:T23 P29 J27 J31 J33 J35 J39:J40 J42 J44 J48 K50:O50 K47:O48 K43:O44 K40:O41 K37:O38 K32:O34 K28:O30 K25:O26 K21:O23 J29 K12:O12 J10 K9:O9 E21:I23 D27 D31 D33 D35 D39:D40 D42 D44 D48 E50:I50 E47:I48 E43:I44 E40:I41 E37:I38 E32:I34 E28:I30 E25:I26 D29 E12:I12 D10"/>
    <dataValidation showInputMessage="1" showErrorMessage="1" prompt="Accepts input from user" sqref="D9 AN18:AU19 K18:AD19 J11:J14 K13:O14 K16:O16 D5:AD7 AN56:AV57 AS45:AU47 AS9:AU9 AS26:AU26 AS28:AU28 AS30:AU30 AS32:AU32 AS34:AU34 AS36:AU36 AS38:AU38 AS41:AU41 AS43:AU43 AS11:AU14 AS49:AU53 AS23:AU23 AI18:AI19 AN11:AN14 AO10:AR11 AO13:AR14 AN9 AN26 AN28 AN30 AN32 AN34 AN36 AN38 AN41 AN43 AN45:AN47 AN49:AN53 AN23 AO51:AR53 AO49:AR49 AO45:AR46 AO42:AR42 AO39:AR39 AO35:AR36 AO31:AR31 AO27:AR27 AO24:AR24 AN5:AU7 AI11:AI14 AI9 AI26 AI28 AI30 AI32 AI34 AI36 AI38 AI41 AI43 AI45:AI47 AI49:AI53 AI23 J16:J19 AI56:AI57 AI5:AI7 AD9 AD26 AD28 AD30 AD32 AD34 AD36 AD38 AD41 AD11:AD14 AD45:AD47 AD49:AD53 AD23 AA11:AA14 AB10:AC11 AB13:AC14 AA9 AA26 AA28 AA30 AA32 AA34 AA36 AA38 AA41 AA43 AA45:AA47 AA49:AA53 AA23 AB51:AC53 AB49:AC49 AB45:AC46 AB42:AC42 AB39:AC39 AB35:AC36 AB31:AC31 AB27:AC27 AB24:AC24 X11:X14 Y10:Z11 Y13:Z14 X9 X26 X28 X30 X32 X34 X36 X38 X41 X43 X45:X47 X49:X53 X23 Y51:Z53 Y49:Z49 Y45:Z46 Y42:Z42 Y39:Z39 Y35:Z36 Y31:Z31 Y27:Z27 Y24:Z24 U11:U14 V13:W14 U9 U26 U28 U30 U32 U34 U36 U38 U41 U43 U45:U47 U49:U53 U23 V51:W53 V49:W49 V45:W46 V42:W42 V39:W39 V35:W36 V31:W31 V27:W27 V24:W24 P9 P12:P14 Q10:T11 Q13:T14 V10:W11 P26 P28 P30 P32 P34 P36 P38 P41 P43 P45:P47 P49:P53 P23 Q51:T53 Q49:T49 Q45:T46 Q42:T42 Q39:T39 Q35:T36 Q31:T31 Q27:T27 Q24:T24 D56:I58 J26 J28 J30 J32 J34 J36 J38 J41 J43 J45:J47 J49:J53 J23 K51:O53 K49:O49 K45:O46 K42:O42 K39:O39 K35:O36 K31:O31 K27:O27 K24:O24 K10:O11 J56:AD57 J9 D23 D26 D28 D30 D32 D34 D36 D38 D41 D43 D45:D47 D49:D53 E51:I53 E49:I49 E45:I46 E42:I42 E39:I39 E35:I36 E31:I31 E27:I27 E24:I24 E10:I11 E13:I16 E18:I20 D11:D20"/>
    <dataValidation allowBlank="1" showInputMessage="1" showErrorMessage="1" prompt="Accepts input from user" sqref="E17:H17 K17:N17"/>
    <dataValidation showInputMessage="1" showErrorMessage="1" prompt="Does not accept input from user" sqref="J15:O15 AN20:AU20 AI20 J20:AD20"/>
  </dataValidations>
  <pageMargins left="0" right="0" top="0.35" bottom="0.45" header="0.2" footer="0.2"/>
  <pageSetup paperSize="5" scale="57"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G4" activePane="bottomRight" state="frozen"/>
      <selection activeCell="B1" sqref="B1"/>
      <selection pane="topRight" activeCell="B1" sqref="B1"/>
      <selection pane="bottomLeft" activeCell="B1" sqref="B1"/>
      <selection pane="bottomRight" activeCell="I32" sqref="I32"/>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c r="B4" s="410"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8"/>
    </row>
    <row r="5" spans="1:40" s="9" customFormat="1">
      <c r="A5" s="107"/>
      <c r="B5" s="413" t="s">
        <v>308</v>
      </c>
      <c r="C5" s="483">
        <v>114371</v>
      </c>
      <c r="D5" s="402">
        <v>47753</v>
      </c>
      <c r="E5" s="453"/>
      <c r="F5" s="453"/>
      <c r="G5" s="447"/>
      <c r="H5" s="401">
        <v>25756985</v>
      </c>
      <c r="I5" s="402">
        <v>24060833</v>
      </c>
      <c r="J5" s="453"/>
      <c r="K5" s="453"/>
      <c r="L5" s="447"/>
      <c r="M5" s="483">
        <v>100814021</v>
      </c>
      <c r="N5" s="402">
        <v>107064087</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c r="A6" s="107"/>
      <c r="B6" s="414" t="s">
        <v>309</v>
      </c>
      <c r="C6" s="484">
        <v>87033</v>
      </c>
      <c r="D6" s="397">
        <v>53958</v>
      </c>
      <c r="E6" s="399">
        <f>'Pt 1 Summary of Data'!E12+'Pt 1 Summary of Data'!E22+'Pt 1 Summary of Data'!G12+'Pt 1 Summary of Data'!G22-'Pt 1 Summary of Data'!H12-'Pt 1 Summary of Data'!H22</f>
        <v>123278.52830094814</v>
      </c>
      <c r="F6" s="399">
        <f>SUM(C6:E6)</f>
        <v>264269.52830094815</v>
      </c>
      <c r="G6" s="470">
        <f>'Pt 1 Summary of Data'!$I12+'Pt 1 Summary of Data'!$I22</f>
        <v>0</v>
      </c>
      <c r="H6" s="396">
        <v>25343167</v>
      </c>
      <c r="I6" s="397">
        <v>23443752</v>
      </c>
      <c r="J6" s="399">
        <f>'Pt 1 Summary of Data'!K12+'Pt 1 Summary of Data'!K22+'Pt 1 Summary of Data'!M12+'Pt 1 Summary of Data'!M22-'Pt 1 Summary of Data'!N12-'Pt 1 Summary of Data'!N22</f>
        <v>19114650.374277338</v>
      </c>
      <c r="K6" s="399">
        <f>SUM(H6:J6)</f>
        <v>67901569.374277338</v>
      </c>
      <c r="L6" s="470">
        <f>'Pt 1 Summary of Data'!$O12+'Pt 1 Summary of Data'!$O22</f>
        <v>10058795.779999999</v>
      </c>
      <c r="M6" s="484">
        <v>100355208</v>
      </c>
      <c r="N6" s="397">
        <v>107543570.34500457</v>
      </c>
      <c r="O6" s="399">
        <f>'Pt 1 Summary of Data'!Q12+'Pt 1 Summary of Data'!Q22+'Pt 1 Summary of Data'!S12+'Pt 1 Summary of Data'!S22-'Pt 1 Summary of Data'!T12-'Pt 1 Summary of Data'!T22</f>
        <v>103230509.28201787</v>
      </c>
      <c r="P6" s="399">
        <f>SUM(M6:O6)</f>
        <v>311129287.62702245</v>
      </c>
      <c r="Q6" s="396"/>
      <c r="R6" s="397"/>
      <c r="S6" s="399"/>
      <c r="T6" s="399"/>
      <c r="U6" s="396"/>
      <c r="V6" s="397"/>
      <c r="W6" s="399"/>
      <c r="X6" s="399"/>
      <c r="Y6" s="396"/>
      <c r="Z6" s="397"/>
      <c r="AA6" s="399"/>
      <c r="AB6" s="399"/>
      <c r="AC6" s="442"/>
      <c r="AD6" s="440"/>
      <c r="AE6" s="440"/>
      <c r="AF6" s="440"/>
      <c r="AG6" s="442"/>
      <c r="AH6" s="440"/>
      <c r="AI6" s="440"/>
      <c r="AJ6" s="440"/>
      <c r="AK6" s="396"/>
      <c r="AL6" s="397"/>
      <c r="AM6" s="399"/>
      <c r="AN6" s="429"/>
    </row>
    <row r="7" spans="1:40">
      <c r="B7" s="414" t="s">
        <v>310</v>
      </c>
      <c r="C7" s="484">
        <v>1097.75</v>
      </c>
      <c r="D7" s="397">
        <v>313</v>
      </c>
      <c r="E7" s="399">
        <f>SUM('Pt 1 Summary of Data'!E37:E42)+SUM('Pt 1 Summary of Data'!G37:G42)-SUM('Pt 1 Summary of Data'!H37:H42)</f>
        <v>246</v>
      </c>
      <c r="F7" s="399">
        <f>SUM(C7:E7)</f>
        <v>1656.75</v>
      </c>
      <c r="G7" s="399">
        <f>SUM('Pt 1 Summary of Data'!$I37:$I42)</f>
        <v>0</v>
      </c>
      <c r="H7" s="396">
        <v>320256</v>
      </c>
      <c r="I7" s="397">
        <v>258771</v>
      </c>
      <c r="J7" s="399">
        <f>SUM('Pt 1 Summary of Data'!K37:K42)+SUM('Pt 1 Summary of Data'!M37:M42)-SUM('Pt 1 Summary of Data'!N37:N42)</f>
        <v>369063.23715696478</v>
      </c>
      <c r="K7" s="399">
        <f>SUM(H7:J7)</f>
        <v>948090.23715696484</v>
      </c>
      <c r="L7" s="399">
        <f>SUM('Pt 1 Summary of Data'!$O37:$O42)</f>
        <v>171255.80810402927</v>
      </c>
      <c r="M7" s="484">
        <v>1238509</v>
      </c>
      <c r="N7" s="397">
        <v>1317793</v>
      </c>
      <c r="O7" s="399">
        <f>SUM('Pt 1 Summary of Data'!Q37:Q42)+SUM('Pt 1 Summary of Data'!S37:S42)-SUM('Pt 1 Summary of Data'!T37:T42)</f>
        <v>1726261.1781888849</v>
      </c>
      <c r="P7" s="399">
        <f>SUM(M7:O7)</f>
        <v>4282563.1781888846</v>
      </c>
      <c r="Q7" s="396"/>
      <c r="R7" s="397"/>
      <c r="S7" s="399"/>
      <c r="T7" s="399"/>
      <c r="U7" s="396"/>
      <c r="V7" s="397"/>
      <c r="W7" s="399"/>
      <c r="X7" s="399"/>
      <c r="Y7" s="396"/>
      <c r="Z7" s="397"/>
      <c r="AA7" s="399"/>
      <c r="AB7" s="399"/>
      <c r="AC7" s="442"/>
      <c r="AD7" s="440"/>
      <c r="AE7" s="440"/>
      <c r="AF7" s="440"/>
      <c r="AG7" s="442"/>
      <c r="AH7" s="440"/>
      <c r="AI7" s="440"/>
      <c r="AJ7" s="440"/>
      <c r="AK7" s="396"/>
      <c r="AL7" s="397"/>
      <c r="AM7" s="399"/>
      <c r="AN7" s="429"/>
    </row>
    <row r="8" spans="1:40">
      <c r="B8" s="414" t="s">
        <v>495</v>
      </c>
      <c r="C8" s="443"/>
      <c r="D8" s="397"/>
      <c r="E8" s="399">
        <f>'Pt 2 Premium and Claims'!E58+'Pt 2 Premium and Claims'!G58-'Pt 2 Premium and Claims'!H58</f>
        <v>0</v>
      </c>
      <c r="F8" s="399">
        <f t="shared" ref="F8:F11" si="0">SUM(C8:E8)</f>
        <v>0</v>
      </c>
      <c r="G8" s="399">
        <f>0</f>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c r="B9" s="414" t="s">
        <v>313</v>
      </c>
      <c r="C9" s="442"/>
      <c r="D9" s="397">
        <v>0</v>
      </c>
      <c r="E9" s="399">
        <f>'Pt 2 Premium and Claims'!E15+'Pt 2 Premium and Claims'!G15-'Pt 2 Premium and Claims'!H15</f>
        <v>0</v>
      </c>
      <c r="F9" s="399">
        <f t="shared" si="0"/>
        <v>0</v>
      </c>
      <c r="G9" s="399">
        <f>0</f>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c r="B10" s="414" t="s">
        <v>314</v>
      </c>
      <c r="C10" s="442"/>
      <c r="D10" s="397">
        <v>0</v>
      </c>
      <c r="E10" s="399">
        <f>'Pt 2 Premium and Claims'!E16+'Pt 2 Premium and Claims'!G16-'Pt 2 Premium and Claims'!H16</f>
        <v>0</v>
      </c>
      <c r="F10" s="399">
        <f t="shared" si="0"/>
        <v>0</v>
      </c>
      <c r="G10" s="400">
        <f>0</f>
        <v>0</v>
      </c>
      <c r="H10" s="442"/>
      <c r="I10" s="397">
        <v>-1254224</v>
      </c>
      <c r="J10" s="399">
        <f>'Pt 2 Premium and Claims'!K16+'Pt 2 Premium and Claims'!M16-'Pt 2 Premium and Claims'!N16</f>
        <v>-1208815</v>
      </c>
      <c r="K10" s="399">
        <f>SUM(I10:J10)</f>
        <v>-2463039</v>
      </c>
      <c r="L10" s="399">
        <f>'Pt 2 Premium and Claims'!O16</f>
        <v>-1208815</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c r="B11" s="414" t="s">
        <v>429</v>
      </c>
      <c r="C11" s="442"/>
      <c r="D11" s="397">
        <v>0</v>
      </c>
      <c r="E11" s="399">
        <f>'Pt 2 Premium and Claims'!E17+'Pt 2 Premium and Claims'!G17-'Pt 2 Premium and Claims'!H17</f>
        <v>0</v>
      </c>
      <c r="F11" s="399">
        <f t="shared" si="0"/>
        <v>0</v>
      </c>
      <c r="G11" s="449"/>
      <c r="H11" s="442"/>
      <c r="I11" s="397">
        <v>1378874</v>
      </c>
      <c r="J11" s="399">
        <f>'Pt 2 Premium and Claims'!K17+'Pt 2 Premium and Claims'!M17-'Pt 2 Premium and Claims'!N17</f>
        <v>3061140.6324510784</v>
      </c>
      <c r="K11" s="399">
        <f>SUM(I11:J11)</f>
        <v>4440014.6324510779</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c r="A12" s="108"/>
      <c r="B12" s="415" t="s">
        <v>315</v>
      </c>
      <c r="C12" s="96">
        <f>C6+C7</f>
        <v>88130.75</v>
      </c>
      <c r="D12" s="96">
        <f>D6+D7-D8-D9-D10-D11</f>
        <v>54271</v>
      </c>
      <c r="E12" s="96">
        <f>E6+E7-E8-E9-E10-E11</f>
        <v>123524.52830094814</v>
      </c>
      <c r="F12" s="96">
        <f>F6+F7-F8-F9-F10-F11</f>
        <v>265926.27830094815</v>
      </c>
      <c r="G12" s="446"/>
      <c r="H12" s="96">
        <f>H6+H7</f>
        <v>25663423</v>
      </c>
      <c r="I12" s="96">
        <f>I6+I7-I8-I9-I10-I11</f>
        <v>23577873</v>
      </c>
      <c r="J12" s="96">
        <f>J6+J7-J8-J9-J10-J11</f>
        <v>17631387.978983223</v>
      </c>
      <c r="K12" s="399">
        <f>SUM(H12:J12)</f>
        <v>66872683.978983223</v>
      </c>
      <c r="L12" s="446"/>
      <c r="M12" s="96">
        <f t="shared" ref="M12:O12" si="1">M6+M7</f>
        <v>101593717</v>
      </c>
      <c r="N12" s="96">
        <f t="shared" si="1"/>
        <v>108861363.34500457</v>
      </c>
      <c r="O12" s="96">
        <f t="shared" si="1"/>
        <v>104956770.46020676</v>
      </c>
      <c r="P12" s="399">
        <f>SUM(M12:O12)</f>
        <v>315411850.80521131</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c r="A13" s="108"/>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c r="AL13" s="399"/>
      <c r="AM13" s="399"/>
      <c r="AN13" s="429"/>
    </row>
    <row r="14" spans="1:40" ht="16.5">
      <c r="B14" s="410"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8"/>
    </row>
    <row r="15" spans="1:40" ht="25.5">
      <c r="B15" s="416" t="s">
        <v>431</v>
      </c>
      <c r="C15" s="401">
        <v>100798</v>
      </c>
      <c r="D15" s="402">
        <v>28409</v>
      </c>
      <c r="E15" s="395">
        <f>SUM('Pt 1 Summary of Data'!E5:E7)+SUM('Pt 1 Summary of Data'!G5:G7)-SUM('Pt 1 Summary of Data'!H5:H7)-SUM(E9:E11)</f>
        <v>18184</v>
      </c>
      <c r="F15" s="399">
        <f t="shared" ref="F15:F16" si="2">SUM(C15:E15)</f>
        <v>147391</v>
      </c>
      <c r="G15" s="395">
        <f>SUM('Pt 1 Summary of Data'!I5:I7)-SUM(F9:F10)</f>
        <v>0</v>
      </c>
      <c r="H15" s="401">
        <v>28649576</v>
      </c>
      <c r="I15" s="402">
        <v>23061489</v>
      </c>
      <c r="J15" s="395">
        <f>SUM('Pt 1 Summary of Data'!K5:K7)+SUM('Pt 1 Summary of Data'!M5:M7)-SUM('Pt 1 Summary of Data'!N5:N7)-SUM(J9:J11)</f>
        <v>20844436</v>
      </c>
      <c r="K15" s="399">
        <f>SUM(H15:J15)</f>
        <v>72555501</v>
      </c>
      <c r="L15" s="395">
        <f>SUM('Pt 1 Summary of Data'!O5:O7)-SUM(L9:L10)</f>
        <v>9672409.4199999999</v>
      </c>
      <c r="M15" s="401">
        <v>115116067</v>
      </c>
      <c r="N15" s="402">
        <v>120075293</v>
      </c>
      <c r="O15" s="395">
        <f>SUM('Pt 1 Summary of Data'!Q5:Q7)+SUM('Pt 1 Summary of Data'!S5:S7)-SUM('Pt 1 Summary of Data'!T5:T7)-SUM(O9:O11)</f>
        <v>109345590</v>
      </c>
      <c r="P15" s="399">
        <f t="shared" ref="P15:P17" si="3">SUM(M15:O15)</f>
        <v>344536950</v>
      </c>
      <c r="Q15" s="401"/>
      <c r="R15" s="402"/>
      <c r="S15" s="395"/>
      <c r="T15" s="395"/>
      <c r="U15" s="401"/>
      <c r="V15" s="402"/>
      <c r="W15" s="395"/>
      <c r="X15" s="395"/>
      <c r="Y15" s="401"/>
      <c r="Z15" s="402"/>
      <c r="AA15" s="395"/>
      <c r="AB15" s="395"/>
      <c r="AC15" s="454"/>
      <c r="AD15" s="453"/>
      <c r="AE15" s="453"/>
      <c r="AF15" s="453"/>
      <c r="AG15" s="454"/>
      <c r="AH15" s="453"/>
      <c r="AI15" s="453"/>
      <c r="AJ15" s="453"/>
      <c r="AK15" s="401"/>
      <c r="AL15" s="402"/>
      <c r="AM15" s="395"/>
      <c r="AN15" s="430"/>
    </row>
    <row r="16" spans="1:40">
      <c r="B16" s="414" t="s">
        <v>311</v>
      </c>
      <c r="C16" s="396">
        <v>249</v>
      </c>
      <c r="D16" s="397">
        <v>1072</v>
      </c>
      <c r="E16" s="399">
        <f>SUM('Pt 1 Summary of Data'!E25:E28)+SUM('Pt 1 Summary of Data'!E30:E32)+SUM('Pt 1 Summary of Data'!E34:E35)+SUM('Pt 1 Summary of Data'!G25:G28)+SUM('Pt 1 Summary of Data'!G30:G32)+SUM('Pt 1 Summary of Data'!G34:G35)-SUM('Pt 1 Summary of Data'!H25:H28)-SUM('Pt 1 Summary of Data'!H30:H32)-SUM('Pt 1 Summary of Data'!H34:H35)</f>
        <v>1157.8400000000001</v>
      </c>
      <c r="F16" s="399">
        <f t="shared" si="2"/>
        <v>2478.84</v>
      </c>
      <c r="G16" s="399">
        <f>SUM('Pt 1 Summary of Data'!I25:I28)+SUM('Pt 1 Summary of Data'!I30:I32)+SUM('Pt 1 Summary of Data'!I34:I35)</f>
        <v>0</v>
      </c>
      <c r="H16" s="396">
        <v>77976</v>
      </c>
      <c r="I16" s="397">
        <v>929500</v>
      </c>
      <c r="J16" s="399">
        <f>SUM('Pt 1 Summary of Data'!K25:K28)+SUM('Pt 1 Summary of Data'!K30:K32)+SUM('Pt 1 Summary of Data'!K34:K35)+SUM('Pt 1 Summary of Data'!M25:M28)+SUM('Pt 1 Summary of Data'!M30:M32)+SUM('Pt 1 Summary of Data'!M34:M35)-SUM('Pt 1 Summary of Data'!N25:N28)-SUM('Pt 1 Summary of Data'!N30:N32)-SUM('Pt 1 Summary of Data'!N34:N35)</f>
        <v>1102163.8900000001</v>
      </c>
      <c r="K16" s="399">
        <f>SUM(H16:J16)</f>
        <v>2109639.89</v>
      </c>
      <c r="L16" s="399">
        <f>SUM('Pt 1 Summary of Data'!O25:O28)+SUM('Pt 1 Summary of Data'!O30:O32)+SUM('Pt 1 Summary of Data'!O34:O35)</f>
        <v>511435.30062506098</v>
      </c>
      <c r="M16" s="396">
        <v>280411</v>
      </c>
      <c r="N16" s="397">
        <v>7537414.8200000003</v>
      </c>
      <c r="O16" s="399">
        <f>SUM('Pt 1 Summary of Data'!Q25:Q28)+SUM('Pt 1 Summary of Data'!Q30:Q32)+SUM('Pt 1 Summary of Data'!Q34:Q35)+SUM('Pt 1 Summary of Data'!S25:S28)+SUM('Pt 1 Summary of Data'!S30:S32)+SUM('Pt 1 Summary of Data'!S34:S35)-SUM('Pt 1 Summary of Data'!T25:T28)-SUM('Pt 1 Summary of Data'!T30:T32)-SUM('Pt 1 Summary of Data'!T34:T35)</f>
        <v>5147000.370000001</v>
      </c>
      <c r="P16" s="399">
        <f t="shared" si="3"/>
        <v>12964826.190000001</v>
      </c>
      <c r="Q16" s="396"/>
      <c r="R16" s="397"/>
      <c r="S16" s="399"/>
      <c r="T16" s="399"/>
      <c r="U16" s="396"/>
      <c r="V16" s="397"/>
      <c r="W16" s="399"/>
      <c r="X16" s="399"/>
      <c r="Y16" s="396"/>
      <c r="Z16" s="397"/>
      <c r="AA16" s="399"/>
      <c r="AB16" s="399"/>
      <c r="AC16" s="442"/>
      <c r="AD16" s="440"/>
      <c r="AE16" s="440"/>
      <c r="AF16" s="440"/>
      <c r="AG16" s="442"/>
      <c r="AH16" s="440"/>
      <c r="AI16" s="440"/>
      <c r="AJ16" s="440"/>
      <c r="AK16" s="396"/>
      <c r="AL16" s="397"/>
      <c r="AM16" s="399"/>
      <c r="AN16" s="429"/>
    </row>
    <row r="17" spans="1:40" s="65" customFormat="1">
      <c r="A17" s="108"/>
      <c r="B17" s="415" t="s">
        <v>318</v>
      </c>
      <c r="C17" s="398">
        <f>C15-C16</f>
        <v>100549</v>
      </c>
      <c r="D17" s="398">
        <f t="shared" ref="D17:F17" si="4">D15-D16</f>
        <v>27337</v>
      </c>
      <c r="E17" s="398">
        <f t="shared" si="4"/>
        <v>17026.16</v>
      </c>
      <c r="F17" s="398">
        <f t="shared" si="4"/>
        <v>144912.16</v>
      </c>
      <c r="G17" s="449"/>
      <c r="H17" s="398">
        <f t="shared" ref="H17" si="5">H15-H16</f>
        <v>28571600</v>
      </c>
      <c r="I17" s="398">
        <f t="shared" ref="I17" si="6">I15-I16</f>
        <v>22131989</v>
      </c>
      <c r="J17" s="398">
        <f t="shared" ref="J17" si="7">J15-J16</f>
        <v>19742272.109999999</v>
      </c>
      <c r="K17" s="398">
        <f t="shared" ref="K17" si="8">K15-K16</f>
        <v>70445861.109999999</v>
      </c>
      <c r="L17" s="449"/>
      <c r="M17" s="398">
        <f t="shared" ref="M17" si="9">M15-M16</f>
        <v>114835656</v>
      </c>
      <c r="N17" s="398">
        <f t="shared" ref="N17:O17" si="10">N15-N16</f>
        <v>112537878.18000001</v>
      </c>
      <c r="O17" s="398">
        <f t="shared" si="10"/>
        <v>104198589.63</v>
      </c>
      <c r="P17" s="399">
        <f t="shared" si="3"/>
        <v>331572123.81</v>
      </c>
      <c r="Q17" s="398"/>
      <c r="R17" s="399"/>
      <c r="S17" s="399"/>
      <c r="T17" s="399"/>
      <c r="U17" s="398"/>
      <c r="V17" s="399"/>
      <c r="W17" s="399"/>
      <c r="X17" s="399"/>
      <c r="Y17" s="398"/>
      <c r="Z17" s="399"/>
      <c r="AA17" s="399"/>
      <c r="AB17" s="399"/>
      <c r="AC17" s="442"/>
      <c r="AD17" s="440"/>
      <c r="AE17" s="440"/>
      <c r="AF17" s="440"/>
      <c r="AG17" s="442"/>
      <c r="AH17" s="440"/>
      <c r="AI17" s="440"/>
      <c r="AJ17" s="440"/>
      <c r="AK17" s="398"/>
      <c r="AL17" s="399"/>
      <c r="AM17" s="399"/>
      <c r="AN17" s="429"/>
    </row>
    <row r="18" spans="1:40" ht="16.5">
      <c r="B18" s="410"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8"/>
    </row>
    <row r="19" spans="1:40">
      <c r="B19" s="417" t="s">
        <v>469</v>
      </c>
      <c r="C19" s="454"/>
      <c r="D19" s="453"/>
      <c r="E19" s="453"/>
      <c r="F19" s="453"/>
      <c r="G19" s="470">
        <f>0</f>
        <v>0</v>
      </c>
      <c r="H19" s="454"/>
      <c r="I19" s="453"/>
      <c r="J19" s="453"/>
      <c r="K19" s="453"/>
      <c r="L19" s="486">
        <f>L6+L7-L8-L9-L10+L58</f>
        <v>11512483.078104028</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c r="B20" s="414" t="s">
        <v>470</v>
      </c>
      <c r="C20" s="442"/>
      <c r="D20" s="440"/>
      <c r="E20" s="440"/>
      <c r="F20" s="440"/>
      <c r="G20" s="470">
        <f>0</f>
        <v>0</v>
      </c>
      <c r="H20" s="442"/>
      <c r="I20" s="440"/>
      <c r="J20" s="440"/>
      <c r="K20" s="440"/>
      <c r="L20" s="487">
        <f>SUM('Pt 1 Summary of Data'!O44:O51)</f>
        <v>1832517.5917925052</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c r="B21" s="415" t="s">
        <v>471</v>
      </c>
      <c r="C21" s="442"/>
      <c r="D21" s="440"/>
      <c r="E21" s="440"/>
      <c r="F21" s="440"/>
      <c r="G21" s="470">
        <f>0</f>
        <v>0</v>
      </c>
      <c r="H21" s="442"/>
      <c r="I21" s="440"/>
      <c r="J21" s="440"/>
      <c r="K21" s="440"/>
      <c r="L21" s="487">
        <f>MAX(L23,L24)</f>
        <v>458048.70596874692</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c r="B22" s="414" t="s">
        <v>472</v>
      </c>
      <c r="C22" s="442"/>
      <c r="D22" s="440"/>
      <c r="E22" s="440"/>
      <c r="F22" s="440"/>
      <c r="G22" s="470">
        <f>0</f>
        <v>0</v>
      </c>
      <c r="H22" s="442"/>
      <c r="I22" s="440"/>
      <c r="J22" s="440"/>
      <c r="K22" s="440"/>
      <c r="L22" s="400">
        <f>L15-L16-L19-L20</f>
        <v>-4184026.5505215954</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c r="B23" s="414" t="s">
        <v>473</v>
      </c>
      <c r="C23" s="442"/>
      <c r="D23" s="440"/>
      <c r="E23" s="440"/>
      <c r="F23" s="440"/>
      <c r="G23" s="470">
        <f>0</f>
        <v>0</v>
      </c>
      <c r="H23" s="442"/>
      <c r="I23" s="440"/>
      <c r="J23" s="440"/>
      <c r="K23" s="440"/>
      <c r="L23" s="400">
        <f>(0.03+0.02)*(L15-L16)</f>
        <v>458048.70596874692</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c r="B24" s="414" t="s">
        <v>474</v>
      </c>
      <c r="C24" s="442"/>
      <c r="D24" s="440"/>
      <c r="E24" s="440"/>
      <c r="F24" s="440"/>
      <c r="G24" s="470">
        <f>0</f>
        <v>0</v>
      </c>
      <c r="H24" s="442"/>
      <c r="I24" s="440"/>
      <c r="J24" s="440"/>
      <c r="K24" s="440"/>
      <c r="L24" s="400">
        <f>0.03*(L15-L16)</f>
        <v>274829.22358124814</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c r="B25" s="422" t="s">
        <v>475</v>
      </c>
      <c r="C25" s="442"/>
      <c r="D25" s="440"/>
      <c r="E25" s="440"/>
      <c r="F25" s="440"/>
      <c r="G25" s="470">
        <f>0</f>
        <v>0</v>
      </c>
      <c r="H25" s="442"/>
      <c r="I25" s="440"/>
      <c r="J25" s="440"/>
      <c r="K25" s="440"/>
      <c r="L25" s="400">
        <f>MIN(L26,L27)</f>
        <v>2526849.6068875473</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c r="B26" s="414" t="s">
        <v>488</v>
      </c>
      <c r="C26" s="442"/>
      <c r="D26" s="440"/>
      <c r="E26" s="440"/>
      <c r="F26" s="440"/>
      <c r="G26" s="470">
        <f>0</f>
        <v>0</v>
      </c>
      <c r="H26" s="442"/>
      <c r="I26" s="440"/>
      <c r="J26" s="440"/>
      <c r="K26" s="440"/>
      <c r="L26" s="400">
        <f>L20+L21+L16</f>
        <v>2802001.5983863133</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c r="B27" s="414" t="s">
        <v>476</v>
      </c>
      <c r="C27" s="442"/>
      <c r="D27" s="440"/>
      <c r="E27" s="440"/>
      <c r="F27" s="440"/>
      <c r="G27" s="470">
        <f>0</f>
        <v>0</v>
      </c>
      <c r="H27" s="442"/>
      <c r="I27" s="440"/>
      <c r="J27" s="440"/>
      <c r="K27" s="440"/>
      <c r="L27" s="400">
        <f>(0.2+0.02)*(L15-L16)+L16</f>
        <v>2526849.6068875473</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c r="B28" s="415" t="s">
        <v>477</v>
      </c>
      <c r="C28" s="442"/>
      <c r="D28" s="440"/>
      <c r="E28" s="440"/>
      <c r="F28" s="440"/>
      <c r="G28" s="470">
        <f>0</f>
        <v>0</v>
      </c>
      <c r="H28" s="442"/>
      <c r="I28" s="440"/>
      <c r="J28" s="440"/>
      <c r="K28" s="440"/>
      <c r="L28" s="400">
        <f>L15-L25</f>
        <v>7145559.8131124526</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c r="B29" s="419" t="s">
        <v>478</v>
      </c>
      <c r="C29" s="442"/>
      <c r="D29" s="440"/>
      <c r="E29" s="440"/>
      <c r="F29" s="440"/>
      <c r="G29" s="470">
        <f>0</f>
        <v>0</v>
      </c>
      <c r="H29" s="442"/>
      <c r="I29" s="440"/>
      <c r="J29" s="440"/>
      <c r="K29" s="440"/>
      <c r="L29" s="400">
        <f>MIN(L32,L31)</f>
        <v>2343630.1245000488</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c r="B30" s="418" t="s">
        <v>479</v>
      </c>
      <c r="C30" s="442"/>
      <c r="D30" s="440"/>
      <c r="E30" s="440"/>
      <c r="F30" s="440"/>
      <c r="G30" s="470">
        <f>0</f>
        <v>0</v>
      </c>
      <c r="H30" s="442"/>
      <c r="I30" s="440"/>
      <c r="J30" s="440"/>
      <c r="K30" s="440"/>
      <c r="L30" s="470">
        <f>MAX(L22,L24)</f>
        <v>274829.22358124814</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c r="B31" s="414" t="s">
        <v>480</v>
      </c>
      <c r="C31" s="442"/>
      <c r="D31" s="440"/>
      <c r="E31" s="440"/>
      <c r="F31" s="440"/>
      <c r="G31" s="470">
        <f>0</f>
        <v>0</v>
      </c>
      <c r="H31" s="442"/>
      <c r="I31" s="440"/>
      <c r="J31" s="440"/>
      <c r="K31" s="440"/>
      <c r="L31" s="400">
        <f>L20+L30+L16</f>
        <v>2618782.1159988143</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c r="B32" s="414" t="s">
        <v>428</v>
      </c>
      <c r="C32" s="442"/>
      <c r="D32" s="440"/>
      <c r="E32" s="440"/>
      <c r="F32" s="440"/>
      <c r="G32" s="470">
        <f>0</f>
        <v>0</v>
      </c>
      <c r="H32" s="442"/>
      <c r="I32" s="440"/>
      <c r="J32" s="440"/>
      <c r="K32" s="440"/>
      <c r="L32" s="400">
        <f>0.2*(L15-L16)+L16</f>
        <v>2343630.1245000488</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c r="B33" s="419" t="s">
        <v>481</v>
      </c>
      <c r="C33" s="442"/>
      <c r="D33" s="440"/>
      <c r="E33" s="440"/>
      <c r="F33" s="440"/>
      <c r="G33" s="400">
        <f>0</f>
        <v>0</v>
      </c>
      <c r="H33" s="442"/>
      <c r="I33" s="440"/>
      <c r="J33" s="440"/>
      <c r="K33" s="440"/>
      <c r="L33" s="400">
        <f>L15-L29</f>
        <v>7328779.2954999506</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c r="B34" s="418" t="s">
        <v>482</v>
      </c>
      <c r="C34" s="461"/>
      <c r="D34" s="462"/>
      <c r="E34" s="462"/>
      <c r="F34" s="462"/>
      <c r="G34" s="470">
        <f>0</f>
        <v>0</v>
      </c>
      <c r="H34" s="461"/>
      <c r="I34" s="462"/>
      <c r="J34" s="462"/>
      <c r="K34" s="462"/>
      <c r="L34" s="468">
        <f>L19/L33</f>
        <v>1.5708595680010413</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c r="B35" s="418" t="s">
        <v>483</v>
      </c>
      <c r="C35" s="442"/>
      <c r="D35" s="440"/>
      <c r="E35" s="440"/>
      <c r="F35" s="440"/>
      <c r="G35" s="476"/>
      <c r="H35" s="442"/>
      <c r="I35" s="440"/>
      <c r="J35" s="440"/>
      <c r="K35" s="440"/>
      <c r="L35" s="476">
        <f>'[1]3 - RC Payment or Charge Calc'!$E12</f>
        <v>3061140.6335587641</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c r="B36" s="419" t="s">
        <v>484</v>
      </c>
      <c r="C36" s="442"/>
      <c r="D36" s="440"/>
      <c r="E36" s="440"/>
      <c r="F36" s="440"/>
      <c r="G36" s="477"/>
      <c r="H36" s="442"/>
      <c r="I36" s="440"/>
      <c r="J36" s="440"/>
      <c r="K36" s="440"/>
      <c r="L36" s="476">
        <f>'[1]3 - RC Payment or Charge Calc'!$E13</f>
        <v>3061140.6324510784</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c r="B37" s="410"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8"/>
    </row>
    <row r="38" spans="1:40">
      <c r="B38" s="416" t="s">
        <v>415</v>
      </c>
      <c r="C38" s="403">
        <v>25</v>
      </c>
      <c r="D38" s="404">
        <v>7</v>
      </c>
      <c r="E38" s="431">
        <f>'Pt 1 Summary of Data'!E60+'Pt 1 Summary of Data'!G60-'Pt 1 Summary of Data'!H60</f>
        <v>4.25</v>
      </c>
      <c r="F38" s="431">
        <f>SUM(C38:E38)</f>
        <v>36.25</v>
      </c>
      <c r="G38" s="447"/>
      <c r="H38" s="403">
        <v>7804.583333333333</v>
      </c>
      <c r="I38" s="404">
        <v>5975.75</v>
      </c>
      <c r="J38" s="431">
        <f>'Pt 1 Summary of Data'!K60+'Pt 1 Summary of Data'!M60-'Pt 1 Summary of Data'!N60</f>
        <v>4800.5</v>
      </c>
      <c r="K38" s="431">
        <f>SUM(H38:J38)</f>
        <v>18580.833333333332</v>
      </c>
      <c r="L38" s="447"/>
      <c r="M38" s="403">
        <v>27432.416666666668</v>
      </c>
      <c r="N38" s="404">
        <v>27951.416666666668</v>
      </c>
      <c r="O38" s="431">
        <f>'Pt 1 Summary of Data'!Q60+'Pt 1 Summary of Data'!S60-'Pt 1 Summary of Data'!T60</f>
        <v>25216.333333333332</v>
      </c>
      <c r="P38" s="431">
        <f>SUM(M38:O38)</f>
        <v>80600.166666666672</v>
      </c>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c r="B39" s="414" t="s">
        <v>320</v>
      </c>
      <c r="C39" s="458"/>
      <c r="D39" s="459"/>
      <c r="E39" s="459"/>
      <c r="F39" s="438">
        <v>0</v>
      </c>
      <c r="G39" s="460"/>
      <c r="H39" s="458"/>
      <c r="I39" s="459"/>
      <c r="J39" s="459"/>
      <c r="K39" s="488">
        <f>0.026+((0.016-0.026)/(25000-10000))*(K38-10000)</f>
        <v>2.0279444444444444E-2</v>
      </c>
      <c r="L39" s="460"/>
      <c r="M39" s="458"/>
      <c r="N39" s="459"/>
      <c r="O39" s="459"/>
      <c r="P39" s="488">
        <v>0</v>
      </c>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c r="A41" s="109"/>
      <c r="B41" s="414" t="s">
        <v>322</v>
      </c>
      <c r="C41" s="442"/>
      <c r="D41" s="440"/>
      <c r="E41" s="440"/>
      <c r="F41" s="433">
        <v>1</v>
      </c>
      <c r="G41" s="446"/>
      <c r="H41" s="442"/>
      <c r="I41" s="440"/>
      <c r="J41" s="440"/>
      <c r="K41" s="433">
        <v>1</v>
      </c>
      <c r="L41" s="446"/>
      <c r="M41" s="442"/>
      <c r="N41" s="440"/>
      <c r="O41" s="440"/>
      <c r="P41" s="433">
        <v>1</v>
      </c>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c r="B42" s="414" t="s">
        <v>323</v>
      </c>
      <c r="C42" s="442"/>
      <c r="D42" s="440"/>
      <c r="E42" s="440"/>
      <c r="F42" s="435">
        <f>F39*F41</f>
        <v>0</v>
      </c>
      <c r="G42" s="446"/>
      <c r="H42" s="442"/>
      <c r="I42" s="440"/>
      <c r="J42" s="440"/>
      <c r="K42" s="435">
        <f>K39*K41</f>
        <v>2.0279444444444444E-2</v>
      </c>
      <c r="L42" s="446"/>
      <c r="M42" s="442"/>
      <c r="N42" s="440"/>
      <c r="O42" s="440"/>
      <c r="P42" s="435">
        <f>P39*P41</f>
        <v>0</v>
      </c>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c r="B43" s="410"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8"/>
    </row>
    <row r="44" spans="1:40">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c r="B45" s="414" t="s">
        <v>432</v>
      </c>
      <c r="C45" s="437"/>
      <c r="D45" s="437"/>
      <c r="E45" s="437"/>
      <c r="F45" s="437"/>
      <c r="G45" s="446"/>
      <c r="H45" s="437">
        <f t="shared" ref="H45:P45" si="11">H12/H17</f>
        <v>0.89821441571350569</v>
      </c>
      <c r="I45" s="437">
        <f t="shared" si="11"/>
        <v>1.0653300523509206</v>
      </c>
      <c r="J45" s="437">
        <f t="shared" si="11"/>
        <v>0.89307795378083377</v>
      </c>
      <c r="K45" s="437">
        <f t="shared" si="11"/>
        <v>0.94927768537831736</v>
      </c>
      <c r="L45" s="446"/>
      <c r="M45" s="437">
        <f t="shared" si="11"/>
        <v>0.88468791435301242</v>
      </c>
      <c r="N45" s="437">
        <f t="shared" si="11"/>
        <v>0.96733086766470766</v>
      </c>
      <c r="O45" s="437">
        <f t="shared" si="11"/>
        <v>1.007276306069967</v>
      </c>
      <c r="P45" s="437">
        <f t="shared" si="11"/>
        <v>0.95126166573023196</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c r="A47" s="107"/>
      <c r="B47" s="420" t="s">
        <v>328</v>
      </c>
      <c r="C47" s="442"/>
      <c r="D47" s="440"/>
      <c r="E47" s="440"/>
      <c r="F47" s="435"/>
      <c r="G47" s="446"/>
      <c r="H47" s="442"/>
      <c r="I47" s="440"/>
      <c r="J47" s="440"/>
      <c r="K47" s="435">
        <f>K42</f>
        <v>2.0279444444444444E-2</v>
      </c>
      <c r="L47" s="446"/>
      <c r="M47" s="442"/>
      <c r="N47" s="440"/>
      <c r="O47" s="440"/>
      <c r="P47" s="435">
        <v>0</v>
      </c>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c r="A48" s="108"/>
      <c r="B48" s="422" t="s">
        <v>327</v>
      </c>
      <c r="C48" s="442"/>
      <c r="D48" s="440"/>
      <c r="E48" s="440"/>
      <c r="F48" s="435"/>
      <c r="G48" s="446"/>
      <c r="H48" s="442"/>
      <c r="I48" s="440"/>
      <c r="J48" s="440"/>
      <c r="K48" s="435">
        <f>K45+K47</f>
        <v>0.96955712982276177</v>
      </c>
      <c r="L48" s="446"/>
      <c r="M48" s="442"/>
      <c r="N48" s="440"/>
      <c r="O48" s="440"/>
      <c r="P48" s="435">
        <f>P45+P47</f>
        <v>0.95126166573023196</v>
      </c>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c r="B49" s="410"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8"/>
    </row>
    <row r="50" spans="1:40" s="9" customFormat="1">
      <c r="A50" s="107"/>
      <c r="B50" s="413" t="s">
        <v>330</v>
      </c>
      <c r="C50" s="405"/>
      <c r="D50" s="405"/>
      <c r="E50" s="405"/>
      <c r="F50" s="405"/>
      <c r="G50" s="447"/>
      <c r="H50" s="405">
        <v>0.8</v>
      </c>
      <c r="I50" s="405">
        <v>0.8</v>
      </c>
      <c r="J50" s="405">
        <v>0.8</v>
      </c>
      <c r="K50" s="405">
        <v>0.8</v>
      </c>
      <c r="L50" s="447"/>
      <c r="M50" s="405">
        <v>0.85</v>
      </c>
      <c r="N50" s="405">
        <v>0.85</v>
      </c>
      <c r="O50" s="405">
        <v>0.85</v>
      </c>
      <c r="P50" s="405">
        <v>0.85</v>
      </c>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c r="B51" s="420" t="s">
        <v>331</v>
      </c>
      <c r="C51" s="443"/>
      <c r="D51" s="441"/>
      <c r="E51" s="441"/>
      <c r="F51" s="435"/>
      <c r="G51" s="446"/>
      <c r="H51" s="443"/>
      <c r="I51" s="441"/>
      <c r="J51" s="441"/>
      <c r="K51" s="435">
        <f>K48</f>
        <v>0.96955712982276177</v>
      </c>
      <c r="L51" s="446"/>
      <c r="M51" s="443"/>
      <c r="N51" s="441"/>
      <c r="O51" s="441"/>
      <c r="P51" s="435">
        <f>P48</f>
        <v>0.95126166573023196</v>
      </c>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c r="A52" s="107"/>
      <c r="B52" s="418" t="s">
        <v>332</v>
      </c>
      <c r="C52" s="442"/>
      <c r="D52" s="440"/>
      <c r="E52" s="440"/>
      <c r="F52" s="399"/>
      <c r="G52" s="446"/>
      <c r="H52" s="442"/>
      <c r="I52" s="440"/>
      <c r="J52" s="440"/>
      <c r="K52" s="399">
        <f>J15-J16</f>
        <v>19742272.109999999</v>
      </c>
      <c r="L52" s="446"/>
      <c r="M52" s="442"/>
      <c r="N52" s="440"/>
      <c r="O52" s="440"/>
      <c r="P52" s="399">
        <f>O15-O16</f>
        <v>104198589.63</v>
      </c>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c r="A53" s="108"/>
      <c r="B53" s="415" t="s">
        <v>333</v>
      </c>
      <c r="C53" s="442"/>
      <c r="D53" s="440"/>
      <c r="E53" s="440"/>
      <c r="F53" s="399"/>
      <c r="G53" s="446"/>
      <c r="H53" s="442"/>
      <c r="I53" s="440"/>
      <c r="J53" s="440"/>
      <c r="K53" s="399"/>
      <c r="L53" s="446"/>
      <c r="M53" s="442"/>
      <c r="N53" s="440"/>
      <c r="O53" s="440"/>
      <c r="P53" s="399"/>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c r="A54" s="84"/>
      <c r="B54" s="410"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8"/>
    </row>
    <row r="55" spans="1:40" s="19" customFormat="1" ht="18.75" customHeight="1">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c r="A58" s="84"/>
      <c r="B58" s="419" t="s">
        <v>485</v>
      </c>
      <c r="C58" s="451"/>
      <c r="D58" s="440"/>
      <c r="E58" s="452"/>
      <c r="F58" s="452"/>
      <c r="G58" s="399"/>
      <c r="H58" s="451"/>
      <c r="I58" s="452"/>
      <c r="J58" s="452"/>
      <c r="K58" s="452"/>
      <c r="L58" s="399">
        <f>L60-L59</f>
        <v>73616.490000000224</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c r="A59" s="84"/>
      <c r="B59" s="418" t="s">
        <v>486</v>
      </c>
      <c r="C59" s="442"/>
      <c r="D59" s="440"/>
      <c r="E59" s="440"/>
      <c r="F59" s="440"/>
      <c r="G59" s="397"/>
      <c r="H59" s="442"/>
      <c r="I59" s="440"/>
      <c r="J59" s="471"/>
      <c r="K59" s="440"/>
      <c r="L59" s="397">
        <f>'[2]Pt 1 Summary of Data'!$O$12+'[2]Pt 1 Summary of Data'!$O$22</f>
        <v>3419541</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c r="A60" s="84"/>
      <c r="B60" s="418" t="s">
        <v>487</v>
      </c>
      <c r="C60" s="442"/>
      <c r="D60" s="440"/>
      <c r="E60" s="440"/>
      <c r="F60" s="440"/>
      <c r="G60" s="397"/>
      <c r="H60" s="442"/>
      <c r="I60" s="440"/>
      <c r="J60" s="471"/>
      <c r="K60" s="440"/>
      <c r="L60" s="397">
        <v>3493157.49</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53" stopIfTrue="1" operator="lessThan">
      <formula>0</formula>
    </cfRule>
  </conditionalFormatting>
  <conditionalFormatting sqref="C15:C16">
    <cfRule type="cellIs" dxfId="59" priority="66" stopIfTrue="1" operator="lessThan">
      <formula>0</formula>
    </cfRule>
  </conditionalFormatting>
  <conditionalFormatting sqref="H15:H16">
    <cfRule type="cellIs" dxfId="58" priority="50" stopIfTrue="1" operator="lessThan">
      <formula>0</formula>
    </cfRule>
  </conditionalFormatting>
  <conditionalFormatting sqref="Q38">
    <cfRule type="cellIs" dxfId="57" priority="40" stopIfTrue="1" operator="lessThan">
      <formula>0</formula>
    </cfRule>
  </conditionalFormatting>
  <conditionalFormatting sqref="M38">
    <cfRule type="cellIs" dxfId="56" priority="44" stopIfTrue="1" operator="lessThan">
      <formula>0</formula>
    </cfRule>
  </conditionalFormatting>
  <conditionalFormatting sqref="H50:K50">
    <cfRule type="cellIs" dxfId="55" priority="47" stopIfTrue="1" operator="lessThan">
      <formula>0</formula>
    </cfRule>
  </conditionalFormatting>
  <conditionalFormatting sqref="Q50:T50">
    <cfRule type="cellIs" dxfId="54" priority="39" stopIfTrue="1" operator="lessThan">
      <formula>0</formula>
    </cfRule>
  </conditionalFormatting>
  <conditionalFormatting sqref="C50:F50">
    <cfRule type="cellIs" dxfId="53" priority="52" stopIfTrue="1" operator="lessThan">
      <formula>0</formula>
    </cfRule>
  </conditionalFormatting>
  <conditionalFormatting sqref="H5:H7">
    <cfRule type="cellIs" dxfId="52" priority="51" stopIfTrue="1" operator="lessThan">
      <formula>0</formula>
    </cfRule>
  </conditionalFormatting>
  <conditionalFormatting sqref="H38">
    <cfRule type="cellIs" dxfId="51" priority="48" stopIfTrue="1" operator="lessThan">
      <formula>0</formula>
    </cfRule>
  </conditionalFormatting>
  <conditionalFormatting sqref="M15:M16">
    <cfRule type="cellIs" dxfId="50" priority="45" stopIfTrue="1" operator="lessThan">
      <formula>0</formula>
    </cfRule>
  </conditionalFormatting>
  <conditionalFormatting sqref="M50:P50">
    <cfRule type="cellIs" dxfId="49" priority="43" stopIfTrue="1" operator="lessThan">
      <formula>0</formula>
    </cfRule>
  </conditionalFormatting>
  <conditionalFormatting sqref="Q5:Q7">
    <cfRule type="cellIs" dxfId="48" priority="42" stopIfTrue="1" operator="lessThan">
      <formula>0</formula>
    </cfRule>
  </conditionalFormatting>
  <conditionalFormatting sqref="Q15:Q16">
    <cfRule type="cellIs" dxfId="47" priority="41" stopIfTrue="1" operator="lessThan">
      <formula>0</formula>
    </cfRule>
  </conditionalFormatting>
  <conditionalFormatting sqref="U5:U7">
    <cfRule type="cellIs" dxfId="46" priority="38" stopIfTrue="1" operator="lessThan">
      <formula>0</formula>
    </cfRule>
  </conditionalFormatting>
  <conditionalFormatting sqref="U15:U16">
    <cfRule type="cellIs" dxfId="45" priority="37" stopIfTrue="1" operator="lessThan">
      <formula>0</formula>
    </cfRule>
  </conditionalFormatting>
  <conditionalFormatting sqref="U38">
    <cfRule type="cellIs" dxfId="44" priority="36" stopIfTrue="1" operator="lessThan">
      <formula>0</formula>
    </cfRule>
  </conditionalFormatting>
  <conditionalFormatting sqref="U50:X50">
    <cfRule type="cellIs" dxfId="43" priority="35" stopIfTrue="1" operator="lessThan">
      <formula>0</formula>
    </cfRule>
  </conditionalFormatting>
  <conditionalFormatting sqref="Y5:Y7">
    <cfRule type="cellIs" dxfId="42" priority="34" stopIfTrue="1" operator="lessThan">
      <formula>0</formula>
    </cfRule>
  </conditionalFormatting>
  <conditionalFormatting sqref="Y15:Y16">
    <cfRule type="cellIs" dxfId="41" priority="33" stopIfTrue="1" operator="lessThan">
      <formula>0</formula>
    </cfRule>
  </conditionalFormatting>
  <conditionalFormatting sqref="Y38">
    <cfRule type="cellIs" dxfId="40" priority="32" stopIfTrue="1" operator="lessThan">
      <formula>0</formula>
    </cfRule>
  </conditionalFormatting>
  <conditionalFormatting sqref="Y50:AB50">
    <cfRule type="cellIs" dxfId="39" priority="31" stopIfTrue="1" operator="lessThan">
      <formula>0</formula>
    </cfRule>
  </conditionalFormatting>
  <conditionalFormatting sqref="AL50:AN50">
    <cfRule type="cellIs" dxfId="38" priority="27" stopIfTrue="1" operator="lessThan">
      <formula>0</formula>
    </cfRule>
  </conditionalFormatting>
  <conditionalFormatting sqref="G35">
    <cfRule type="cellIs" dxfId="37" priority="26" stopIfTrue="1" operator="lessThan">
      <formula>0</formula>
    </cfRule>
  </conditionalFormatting>
  <conditionalFormatting sqref="G36">
    <cfRule type="cellIs" dxfId="36" priority="25" stopIfTrue="1" operator="lessThan">
      <formula>0</formula>
    </cfRule>
  </conditionalFormatting>
  <conditionalFormatting sqref="C56">
    <cfRule type="cellIs" dxfId="35" priority="24" stopIfTrue="1" operator="lessThan">
      <formula>0</formula>
    </cfRule>
  </conditionalFormatting>
  <conditionalFormatting sqref="C57">
    <cfRule type="cellIs" dxfId="34" priority="23" stopIfTrue="1" operator="lessThan">
      <formula>0</formula>
    </cfRule>
  </conditionalFormatting>
  <conditionalFormatting sqref="AK5:AK7">
    <cfRule type="cellIs" dxfId="33" priority="22" stopIfTrue="1" operator="lessThan">
      <formula>0</formula>
    </cfRule>
  </conditionalFormatting>
  <conditionalFormatting sqref="AK15:AK16">
    <cfRule type="cellIs" dxfId="32" priority="21" stopIfTrue="1" operator="lessThan">
      <formula>0</formula>
    </cfRule>
  </conditionalFormatting>
  <conditionalFormatting sqref="AK38">
    <cfRule type="cellIs" dxfId="31" priority="20" stopIfTrue="1" operator="lessThan">
      <formula>0</formula>
    </cfRule>
  </conditionalFormatting>
  <conditionalFormatting sqref="AK50">
    <cfRule type="cellIs" dxfId="30" priority="19" stopIfTrue="1" operator="lessThan">
      <formula>0</formula>
    </cfRule>
  </conditionalFormatting>
  <conditionalFormatting sqref="H56">
    <cfRule type="cellIs" dxfId="29" priority="18" stopIfTrue="1" operator="lessThan">
      <formula>0</formula>
    </cfRule>
  </conditionalFormatting>
  <conditionalFormatting sqref="H57">
    <cfRule type="cellIs" dxfId="28" priority="17" stopIfTrue="1" operator="lessThan">
      <formula>0</formula>
    </cfRule>
  </conditionalFormatting>
  <conditionalFormatting sqref="M56">
    <cfRule type="cellIs" dxfId="27" priority="16" stopIfTrue="1" operator="lessThan">
      <formula>0</formula>
    </cfRule>
  </conditionalFormatting>
  <conditionalFormatting sqref="M57">
    <cfRule type="cellIs" dxfId="26" priority="15" stopIfTrue="1" operator="lessThan">
      <formula>0</formula>
    </cfRule>
  </conditionalFormatting>
  <conditionalFormatting sqref="Q56">
    <cfRule type="cellIs" dxfId="25" priority="14" stopIfTrue="1" operator="lessThan">
      <formula>0</formula>
    </cfRule>
  </conditionalFormatting>
  <conditionalFormatting sqref="Q57">
    <cfRule type="cellIs" dxfId="24" priority="13" stopIfTrue="1" operator="lessThan">
      <formula>0</formula>
    </cfRule>
  </conditionalFormatting>
  <conditionalFormatting sqref="U56">
    <cfRule type="cellIs" dxfId="23" priority="12" stopIfTrue="1" operator="lessThan">
      <formula>0</formula>
    </cfRule>
  </conditionalFormatting>
  <conditionalFormatting sqref="U57">
    <cfRule type="cellIs" dxfId="22" priority="11" stopIfTrue="1" operator="lessThan">
      <formula>0</formula>
    </cfRule>
  </conditionalFormatting>
  <conditionalFormatting sqref="Y56">
    <cfRule type="cellIs" dxfId="21" priority="10" stopIfTrue="1" operator="lessThan">
      <formula>0</formula>
    </cfRule>
  </conditionalFormatting>
  <conditionalFormatting sqref="Y57">
    <cfRule type="cellIs" dxfId="20" priority="9" stopIfTrue="1" operator="lessThan">
      <formula>0</formula>
    </cfRule>
  </conditionalFormatting>
  <conditionalFormatting sqref="AK56">
    <cfRule type="cellIs" dxfId="19" priority="8" stopIfTrue="1" operator="lessThan">
      <formula>0</formula>
    </cfRule>
  </conditionalFormatting>
  <conditionalFormatting sqref="AK57">
    <cfRule type="cellIs" dxfId="18" priority="7" stopIfTrue="1" operator="lessThan">
      <formula>0</formula>
    </cfRule>
  </conditionalFormatting>
  <conditionalFormatting sqref="L35">
    <cfRule type="cellIs" dxfId="17" priority="6" stopIfTrue="1" operator="lessThan">
      <formula>0</formula>
    </cfRule>
  </conditionalFormatting>
  <conditionalFormatting sqref="L36">
    <cfRule type="cellIs" dxfId="16" priority="5" stopIfTrue="1" operator="lessThan">
      <formula>0</formula>
    </cfRule>
  </conditionalFormatting>
  <conditionalFormatting sqref="C15:C16">
    <cfRule type="cellIs" dxfId="15" priority="4" stopIfTrue="1" operator="lessThan">
      <formula>0</formula>
    </cfRule>
  </conditionalFormatting>
  <conditionalFormatting sqref="L36">
    <cfRule type="cellIs" dxfId="14" priority="3" stopIfTrue="1" operator="lessThan">
      <formula>0</formula>
    </cfRule>
  </conditionalFormatting>
  <conditionalFormatting sqref="C50:F50">
    <cfRule type="cellIs" dxfId="13" priority="2" stopIfTrue="1" operator="lessThan">
      <formula>0</formula>
    </cfRule>
  </conditionalFormatting>
  <conditionalFormatting sqref="H50:K50">
    <cfRule type="cellIs" dxfId="12" priority="1" stopIfTrue="1" operator="lessThan">
      <formula>0</formula>
    </cfRule>
  </conditionalFormatting>
  <dataValidations xWindow="1007" yWindow="538"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c r="D4" s="104"/>
      <c r="E4" s="104"/>
      <c r="F4" s="104"/>
      <c r="G4" s="104"/>
      <c r="H4" s="104"/>
      <c r="I4" s="185"/>
      <c r="J4" s="185"/>
      <c r="K4" s="191"/>
    </row>
    <row r="5" spans="2:11" ht="17.25" thickBot="1">
      <c r="B5" s="122" t="s">
        <v>342</v>
      </c>
      <c r="C5" s="163"/>
      <c r="D5" s="164"/>
      <c r="E5" s="164"/>
      <c r="F5" s="164"/>
      <c r="G5" s="164"/>
      <c r="H5" s="164"/>
      <c r="I5" s="164"/>
      <c r="J5" s="164"/>
      <c r="K5" s="192"/>
    </row>
    <row r="6" spans="2:11" ht="14.25" thickTop="1" thickBot="1">
      <c r="B6" s="123" t="s">
        <v>101</v>
      </c>
      <c r="C6" s="183"/>
      <c r="D6" s="100">
        <v>0</v>
      </c>
      <c r="E6" s="100">
        <v>0</v>
      </c>
      <c r="F6" s="184"/>
      <c r="G6" s="100"/>
      <c r="H6" s="100"/>
      <c r="I6" s="184"/>
      <c r="J6" s="184"/>
      <c r="K6" s="189"/>
    </row>
    <row r="7" spans="2:11" ht="14.25" thickTop="1" thickBot="1">
      <c r="B7" s="116" t="s">
        <v>102</v>
      </c>
      <c r="C7" s="101">
        <v>0</v>
      </c>
      <c r="D7" s="100">
        <v>0</v>
      </c>
      <c r="E7" s="100">
        <v>0</v>
      </c>
      <c r="F7" s="102"/>
      <c r="G7" s="102"/>
      <c r="H7" s="102"/>
      <c r="I7" s="190"/>
      <c r="J7" s="190"/>
      <c r="K7" s="193"/>
    </row>
    <row r="8" spans="2:11" ht="14.25" thickTop="1" thickBot="1">
      <c r="B8" s="116" t="s">
        <v>103</v>
      </c>
      <c r="C8" s="182"/>
      <c r="D8" s="100">
        <v>0</v>
      </c>
      <c r="E8" s="100">
        <v>0</v>
      </c>
      <c r="F8" s="185"/>
      <c r="G8" s="102"/>
      <c r="H8" s="102"/>
      <c r="I8" s="190"/>
      <c r="J8" s="190"/>
      <c r="K8" s="194"/>
    </row>
    <row r="9" spans="2:11" ht="13.15" customHeight="1" thickTop="1">
      <c r="B9" s="116" t="s">
        <v>104</v>
      </c>
      <c r="C9" s="101">
        <v>0</v>
      </c>
      <c r="D9" s="100">
        <v>0</v>
      </c>
      <c r="E9" s="100">
        <v>0</v>
      </c>
      <c r="F9" s="102"/>
      <c r="G9" s="102"/>
      <c r="H9" s="102"/>
      <c r="I9" s="190"/>
      <c r="J9" s="190"/>
      <c r="K9" s="193"/>
    </row>
    <row r="10" spans="2:11" ht="17.25" thickBot="1">
      <c r="B10" s="122" t="s">
        <v>343</v>
      </c>
      <c r="C10" s="63"/>
      <c r="D10" s="64"/>
      <c r="E10" s="64"/>
      <c r="F10" s="64"/>
      <c r="G10" s="64"/>
      <c r="H10" s="64"/>
      <c r="I10" s="64"/>
      <c r="J10" s="64"/>
      <c r="K10" s="195"/>
    </row>
    <row r="11" spans="2:11" s="5" customFormat="1">
      <c r="B11" s="123" t="s">
        <v>417</v>
      </c>
      <c r="C11" s="96"/>
      <c r="D11" s="97"/>
      <c r="E11" s="97"/>
      <c r="F11" s="97"/>
      <c r="G11" s="97"/>
      <c r="H11" s="97"/>
      <c r="I11" s="178"/>
      <c r="J11" s="178"/>
      <c r="K11" s="196"/>
    </row>
    <row r="12" spans="2:11">
      <c r="B12" s="124" t="s">
        <v>93</v>
      </c>
      <c r="C12" s="94">
        <v>0</v>
      </c>
      <c r="D12" s="95">
        <v>0</v>
      </c>
      <c r="E12" s="95">
        <v>0</v>
      </c>
      <c r="F12" s="95"/>
      <c r="G12" s="95"/>
      <c r="H12" s="95"/>
      <c r="I12" s="177"/>
      <c r="J12" s="177"/>
      <c r="K12" s="197"/>
    </row>
    <row r="13" spans="2:11">
      <c r="B13" s="124" t="s">
        <v>94</v>
      </c>
      <c r="C13" s="94">
        <v>0</v>
      </c>
      <c r="D13" s="95">
        <v>0</v>
      </c>
      <c r="E13" s="95">
        <v>0</v>
      </c>
      <c r="F13" s="95"/>
      <c r="G13" s="95"/>
      <c r="H13" s="95"/>
      <c r="I13" s="177"/>
      <c r="J13" s="177"/>
      <c r="K13" s="197"/>
    </row>
    <row r="14" spans="2:11">
      <c r="B14" s="124" t="s">
        <v>95</v>
      </c>
      <c r="C14" s="94">
        <v>0</v>
      </c>
      <c r="D14" s="95">
        <v>0</v>
      </c>
      <c r="E14" s="95">
        <v>0</v>
      </c>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c r="G16" s="99"/>
      <c r="H16" s="99"/>
      <c r="I16" s="178"/>
      <c r="J16" s="178"/>
      <c r="K16" s="186"/>
    </row>
    <row r="17" spans="2:12" s="5" customFormat="1">
      <c r="B17" s="124" t="s">
        <v>203</v>
      </c>
      <c r="C17" s="94">
        <v>0</v>
      </c>
      <c r="D17" s="95">
        <v>0</v>
      </c>
      <c r="E17" s="95">
        <v>0</v>
      </c>
      <c r="F17" s="95"/>
      <c r="G17" s="95"/>
      <c r="H17" s="95"/>
      <c r="I17" s="177"/>
      <c r="J17" s="177"/>
      <c r="K17" s="197"/>
    </row>
    <row r="18" spans="2:12" ht="25.5">
      <c r="B18" s="116" t="s">
        <v>207</v>
      </c>
      <c r="C18" s="187">
        <v>0</v>
      </c>
      <c r="D18" s="106">
        <v>0</v>
      </c>
      <c r="E18" s="106">
        <v>0</v>
      </c>
      <c r="F18" s="106"/>
      <c r="G18" s="106"/>
      <c r="H18" s="106"/>
      <c r="I18" s="180"/>
      <c r="J18" s="180"/>
      <c r="K18" s="198"/>
    </row>
    <row r="19" spans="2:12" ht="25.5">
      <c r="B19" s="116" t="s">
        <v>208</v>
      </c>
      <c r="C19" s="179"/>
      <c r="D19" s="106">
        <v>0</v>
      </c>
      <c r="E19" s="106">
        <v>0</v>
      </c>
      <c r="F19" s="188"/>
      <c r="G19" s="106"/>
      <c r="H19" s="106"/>
      <c r="I19" s="180"/>
      <c r="J19" s="180"/>
      <c r="K19" s="199"/>
    </row>
    <row r="20" spans="2:12" ht="25.5">
      <c r="B20" s="116" t="s">
        <v>209</v>
      </c>
      <c r="C20" s="187">
        <v>0</v>
      </c>
      <c r="D20" s="106">
        <v>0</v>
      </c>
      <c r="E20" s="106">
        <v>0</v>
      </c>
      <c r="F20" s="106"/>
      <c r="G20" s="106"/>
      <c r="H20" s="106"/>
      <c r="I20" s="180"/>
      <c r="J20" s="180"/>
      <c r="K20" s="198"/>
    </row>
    <row r="21" spans="2:12" ht="25.5">
      <c r="B21" s="116" t="s">
        <v>210</v>
      </c>
      <c r="C21" s="179"/>
      <c r="D21" s="106">
        <v>0</v>
      </c>
      <c r="E21" s="106">
        <v>0</v>
      </c>
      <c r="F21" s="188"/>
      <c r="G21" s="106"/>
      <c r="H21" s="106"/>
      <c r="I21" s="180"/>
      <c r="J21" s="180"/>
      <c r="K21" s="199"/>
    </row>
    <row r="22" spans="2:12" s="5" customFormat="1" ht="13.5" thickBot="1">
      <c r="B22" s="126" t="s">
        <v>211</v>
      </c>
      <c r="C22" s="121">
        <v>0</v>
      </c>
      <c r="D22" s="127">
        <v>0</v>
      </c>
      <c r="E22" s="127">
        <v>0</v>
      </c>
      <c r="F22" s="127"/>
      <c r="G22" s="127"/>
      <c r="H22" s="127"/>
      <c r="I22" s="181"/>
      <c r="J22" s="181"/>
      <c r="K22" s="200"/>
    </row>
    <row r="23" spans="2:12" s="5" customFormat="1" ht="100.15" customHeight="1">
      <c r="B23" s="91" t="s">
        <v>212</v>
      </c>
      <c r="C23" s="489" t="s">
        <v>505</v>
      </c>
      <c r="D23" s="490"/>
      <c r="E23" s="490"/>
      <c r="F23" s="490"/>
      <c r="G23" s="490"/>
      <c r="H23" s="490"/>
      <c r="I23" s="490"/>
      <c r="J23" s="490"/>
      <c r="K23" s="491"/>
    </row>
    <row r="24" spans="2:12" s="5" customFormat="1" ht="100.15" customHeight="1" thickBot="1">
      <c r="B24" s="90" t="s">
        <v>213</v>
      </c>
      <c r="C24" s="492" t="s">
        <v>506</v>
      </c>
      <c r="D24" s="493"/>
      <c r="E24" s="493"/>
      <c r="F24" s="493"/>
      <c r="G24" s="493"/>
      <c r="H24" s="493"/>
      <c r="I24" s="493"/>
      <c r="J24" s="493"/>
      <c r="K24" s="494"/>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G6:H9 D6:E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9"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Paul Cooley</cp:lastModifiedBy>
  <cp:lastPrinted>2016-07-18T14:06:55Z</cp:lastPrinted>
  <dcterms:created xsi:type="dcterms:W3CDTF">2012-03-15T16:14:51Z</dcterms:created>
  <dcterms:modified xsi:type="dcterms:W3CDTF">2016-08-01T15:13:53Z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