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T41" i="10"/>
  <c r="S16" i="10"/>
  <c r="T16" i="10" s="1"/>
  <c r="P41" i="10"/>
  <c r="O38" i="10"/>
  <c r="O16" i="10"/>
  <c r="P16" i="10" s="1"/>
  <c r="N17" i="10"/>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6" i="10"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5" i="4"/>
  <c r="D60" i="4"/>
  <c r="D22" i="4"/>
  <c r="D5" i="4"/>
  <c r="T6" i="10" l="1"/>
  <c r="AB6" i="10"/>
  <c r="AA13" i="10"/>
  <c r="G19" i="10"/>
  <c r="G15" i="10"/>
  <c r="G7" i="10"/>
  <c r="G20" i="10" s="1"/>
  <c r="J6" i="10"/>
  <c r="W15" i="10"/>
  <c r="W7" i="10"/>
  <c r="X7" i="10" s="1"/>
  <c r="K15" i="10"/>
  <c r="O15" i="10"/>
  <c r="O7" i="10"/>
  <c r="P7" i="10" s="1"/>
  <c r="F6" i="10"/>
  <c r="O6" i="10"/>
  <c r="W6" i="10"/>
  <c r="L15" i="10"/>
  <c r="S15" i="10"/>
  <c r="Y46" i="10"/>
  <c r="AB39" i="10" s="1"/>
  <c r="AB13" i="10"/>
  <c r="AB15" i="10"/>
  <c r="AB17" i="10" s="1"/>
  <c r="AB53" i="10" s="1"/>
  <c r="H11" i="16" s="1"/>
  <c r="E7" i="10"/>
  <c r="F7" i="10" s="1"/>
  <c r="L6" i="10"/>
  <c r="N45" i="10"/>
  <c r="E15" i="10"/>
  <c r="L19" i="10"/>
  <c r="P38" i="10"/>
  <c r="AB42" i="10"/>
  <c r="AB52" i="10"/>
  <c r="T15" i="10" l="1"/>
  <c r="T17" i="10" s="1"/>
  <c r="E12" i="10"/>
  <c r="X15" i="10"/>
  <c r="F15" i="10"/>
  <c r="F17" i="10" s="1"/>
  <c r="L27" i="10"/>
  <c r="L32" i="10"/>
  <c r="L24" i="10"/>
  <c r="L23" i="10"/>
  <c r="S38" i="10"/>
  <c r="P45" i="10"/>
  <c r="P52" i="10"/>
  <c r="X6" i="10"/>
  <c r="W17" i="10" s="1"/>
  <c r="U13" i="10"/>
  <c r="Q13" i="10"/>
  <c r="P15" i="10"/>
  <c r="P17" i="10" s="1"/>
  <c r="O17" i="10"/>
  <c r="O45" i="10" s="1"/>
  <c r="P39" i="10" s="1"/>
  <c r="P42" i="10" s="1"/>
  <c r="S13" i="10"/>
  <c r="J38" i="10"/>
  <c r="K6" i="10"/>
  <c r="J17" i="10" s="1"/>
  <c r="I12" i="10"/>
  <c r="AB46" i="10"/>
  <c r="L20" i="10"/>
  <c r="P6" i="10"/>
  <c r="O12" i="10"/>
  <c r="P12" i="10" s="1"/>
  <c r="G22" i="10"/>
  <c r="G23" i="10"/>
  <c r="G27" i="10"/>
  <c r="G24" i="10"/>
  <c r="G32" i="10"/>
  <c r="AB48" i="10" l="1"/>
  <c r="AB51" i="10" s="1"/>
  <c r="AB47" i="10"/>
  <c r="W13" i="10"/>
  <c r="P47" i="10"/>
  <c r="P48" i="10" s="1"/>
  <c r="P51" i="10" s="1"/>
  <c r="P53" i="10" s="1"/>
  <c r="E11" i="16" s="1"/>
  <c r="E17" i="10"/>
  <c r="H12" i="10"/>
  <c r="J12" i="10"/>
  <c r="C17" i="10"/>
  <c r="R13" i="10"/>
  <c r="C12" i="10"/>
  <c r="V17" i="10"/>
  <c r="V46" i="10" s="1"/>
  <c r="X17" i="10"/>
  <c r="R17" i="10"/>
  <c r="R46" i="10" s="1"/>
  <c r="G21" i="10"/>
  <c r="G26" i="10" s="1"/>
  <c r="G25" i="10" s="1"/>
  <c r="G28" i="10" s="1"/>
  <c r="G30" i="10"/>
  <c r="G31" i="10" s="1"/>
  <c r="G29" i="10" s="1"/>
  <c r="G33" i="10" s="1"/>
  <c r="G34" i="10" s="1"/>
  <c r="K38" i="10"/>
  <c r="J45" i="10"/>
  <c r="T38" i="10"/>
  <c r="D17" i="10"/>
  <c r="D45" i="10" s="1"/>
  <c r="H17" i="10"/>
  <c r="K17" i="10"/>
  <c r="W38" i="10"/>
  <c r="Q17" i="10"/>
  <c r="I17" i="10"/>
  <c r="I45" i="10" s="1"/>
  <c r="E38" i="10"/>
  <c r="D12" i="10"/>
  <c r="V13" i="10"/>
  <c r="U17" i="10"/>
  <c r="L22" i="10"/>
  <c r="S17" i="10"/>
  <c r="S46" i="10" s="1"/>
  <c r="F38" i="10" l="1"/>
  <c r="E45" i="10"/>
  <c r="T42" i="10"/>
  <c r="T52" i="10"/>
  <c r="T46" i="10"/>
  <c r="T53" i="10"/>
  <c r="F11" i="16" s="1"/>
  <c r="T39" i="10"/>
  <c r="T13" i="10"/>
  <c r="Q46" i="10"/>
  <c r="K53" i="10"/>
  <c r="D11" i="16" s="1"/>
  <c r="K52" i="10"/>
  <c r="K45" i="10"/>
  <c r="K42" i="10"/>
  <c r="F12" i="10"/>
  <c r="C45" i="10"/>
  <c r="W46" i="10"/>
  <c r="X38" i="10"/>
  <c r="L21" i="10"/>
  <c r="L26" i="10" s="1"/>
  <c r="L25" i="10" s="1"/>
  <c r="L28" i="10" s="1"/>
  <c r="L30" i="10"/>
  <c r="L31" i="10" s="1"/>
  <c r="L29" i="10" s="1"/>
  <c r="L33" i="10" s="1"/>
  <c r="L34" i="10" s="1"/>
  <c r="X13" i="10"/>
  <c r="U46" i="10"/>
  <c r="H45" i="10"/>
  <c r="K39" i="10" s="1"/>
  <c r="K12" i="10"/>
  <c r="X53" i="10" l="1"/>
  <c r="G11" i="16" s="1"/>
  <c r="X39" i="10"/>
  <c r="X52" i="10"/>
  <c r="X46" i="10"/>
  <c r="X42" i="10"/>
  <c r="K47" i="10"/>
  <c r="K48" i="10"/>
  <c r="K51" i="10" s="1"/>
  <c r="T48" i="10"/>
  <c r="T51" i="10" s="1"/>
  <c r="T47" i="10"/>
  <c r="F42" i="10"/>
  <c r="F52" i="10"/>
  <c r="F45" i="10"/>
  <c r="F53" i="10"/>
  <c r="C11" i="16" s="1"/>
  <c r="F39" i="10"/>
  <c r="F48" i="10" l="1"/>
  <c r="F51" i="10" s="1"/>
  <c r="F47" i="10"/>
  <c r="X47" i="10"/>
  <c r="X48" i="10"/>
  <c r="X51" i="10" s="1"/>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<sst xmlns="http://schemas.openxmlformats.org/spreadsheetml/2006/main" count="572" uniqueCount="511">
  <si>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</si>
  <si>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</si>
  <si>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</si>
  <si>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</si>
  <si>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</si>
  <si>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</si>
  <si>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</si>
  <si>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</si>
  <si>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</si>
  <si>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</si>
  <si>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</si>
  <si>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</si>
  <si>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</si>
  <si>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</si>
  <si>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</si>
  <si>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</si>
  <si>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</si>
  <si>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</si>
  <si>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</si>
  <si>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</si>
  <si>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</si>
  <si>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</si>
  <si>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</si>
  <si>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</si>
  <si>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</si>
  <si>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</si>
  <si>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</si>
  <si>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</si>
  <si>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</si>
  <si>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</si>
  <si>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</si>
  <si>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</si>
  <si>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</si>
  <si>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</si>
  <si>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</si>
  <si>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</si>
  <si>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</si>
  <si>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</si>
  <si>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</si>
  <si>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</si>
  <si>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</si>
  <si>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</si>
  <si>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</si>
  <si>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</si>
  <si>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</si>
  <si>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</si>
  <si>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</si>
  <si>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</si>
  <si>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</si>
  <si>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</si>
  <si>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</si>
  <si>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</si>
  <si>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</si>
  <si>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</si>
  <si>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</si>
  <si>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</si>
  <si>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</si>
  <si>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</si>
  <si>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</si>
  <si>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</si>
  <si>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</si>
  <si>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</si>
  <si>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</si>
  <si>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</si>
  <si>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</si>
  <si>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</si>
  <si>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</si>
  <si>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</si>
  <si>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</si>
  <si>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</si>
  <si>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</si>
  <si>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</si>
  <si>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</si>
  <si>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</si>
  <si>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</si>
  <si>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</si>
  <si>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</si>
  <si>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</si>
  <si>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</si>
  <si>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</si>
  <si>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</si>
  <si>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</si>
  <si>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</si>
  <si>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</si>
  <si>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</si>
  <si>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</si>
  <si>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</si>
  <si>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</si>
  <si>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</si>
  <si>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</si>
  <si>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</si>
  <si>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</si>
  <si>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</si>
  <si>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</si>
  <si>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</si>
  <si>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</si>
  <si>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</si>
  <si>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</si>
  <si>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</si>
  <si>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</si>
  <si>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</si>
  <si>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</si>
  <si>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</si>
  <si>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</si>
  <si>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</si>
  <si>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</si>
  <si>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</si>
  <si>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</si>
  <si>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</si>
  <si>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</si>
  <si>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</si>
  <si>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</si>
  <si>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</si>
  <si>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</si>
  <si>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</si>
  <si>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</si>
  <si>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</si>
  <si>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</si>
  <si>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</si>
  <si>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</si>
  <si>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</si>
  <si>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</si>
  <si>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</si>
  <si>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</si>
  <si>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</si>
  <si>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</si>
  <si>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</si>
  <si>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</si>
  <si>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</si>
  <si>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</si>
  <si>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</si>
  <si>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</si>
  <si>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</si>
  <si>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</si>
  <si>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</si>
  <si>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</si>
  <si>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</si>
  <si>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</si>
  <si>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</si>
  <si>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</si>
  <si>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</si>
  <si>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</si>
  <si>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</si>
  <si>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</si>
  <si>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</si>
  <si>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</si>
  <si>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</si>
  <si>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</si>
  <si>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</si>
  <si>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</si>
  <si>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</si>
  <si>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</si>
  <si>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</si>
  <si>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</si>
  <si>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</si>
  <si>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</si>
  <si>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</si>
  <si>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</si>
  <si>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</si>
  <si>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</si>
  <si>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</si>
  <si>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</si>
  <si>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</si>
  <si>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</si>
  <si>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</si>
  <si>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</si>
  <si>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</si>
  <si>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</si>
  <si>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</si>
  <si>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</si>
  <si>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</si>
  <si>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</si>
  <si>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</si>
  <si>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</si>
  <si>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</si>
  <si>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</si>
  <si>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</si>
  <si>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</si>
  <si>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</si>
  <si>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</si>
  <si>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</si>
  <si>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</si>
  <si>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</si>
  <si>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</si>
  <si>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</si>
  <si>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</si>
  <si>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</si>
  <si>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</si>
  <si>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</si>
  <si>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</si>
  <si>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</si>
  <si>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</si>
  <si>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</si>
  <si>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</si>
  <si>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</si>
  <si>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</si>
  <si>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</si>
  <si>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</si>
  <si>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</si>
  <si>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</si>
  <si>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</si>
  <si>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</si>
  <si>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</si>
  <si>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</si>
  <si>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</si>
  <si>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</si>
  <si>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</si>
  <si>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</si>
  <si>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</si>
  <si>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</si>
  <si>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</si>
  <si>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</si>
  <si>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</si>
  <si>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</si>
  <si>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</si>
  <si>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</si>
  <si>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</si>
  <si>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</si>
  <si>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</si>
  <si>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</si>
  <si>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</si>
  <si>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</si>
  <si>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</si>
  <si>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</si>
  <si>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</si>
  <si>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</si>
  <si>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</si>
  <si>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</si>
  <si>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</si>
  <si>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</si>
  <si>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</si>
  <si>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</si>
  <si>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</si>
  <si>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</si>
  <si>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</si>
  <si>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</si>
  <si>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</si>
  <si>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</si>
  <si>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</si>
  <si>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</si>
  <si>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</si>
  <si>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</si>
  <si>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</si>
  <si>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</si>
  <si>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</si>
  <si>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</si>
  <si>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</si>
  <si>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</si>
  <si>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</si>
  <si>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</si>
  <si>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</si>
  <si>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</si>
  <si>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</si>
  <si>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</si>
  <si>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</si>
  <si>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</si>
  <si>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</si>
  <si>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</si>
  <si>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</si>
  <si>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</si>
  <si>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</si>
  <si>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</si>
  <si>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</si>
  <si>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</si>
  <si>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</si>
  <si>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</si>
  <si>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</si>
  <si>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</si>
  <si>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</si>
  <si>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</si>
  <si>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</si>
  <si>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</si>
  <si>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</si>
  <si>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</si>
  <si>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</si>
  <si>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</si>
  <si>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</si>
  <si>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</si>
  <si>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</si>
  <si>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</si>
  <si>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</si>
  <si>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</si>
  <si>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</si>
  <si>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</si>
  <si>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</si>
  <si>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</si>
  <si>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</si>
  <si>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</si>
  <si>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</si>
  <si>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</si>
  <si>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</si>
  <si>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</si>
  <si>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</si>
  <si>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</si>
  <si>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</si>
  <si>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</si>
  <si>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</si>
  <si>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</si>
  <si>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</si>
  <si>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</si>
  <si>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</si>
  <si>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</si>
  <si>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</si>
  <si>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</si>
  <si>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</si>
  <si>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</si>
  <si>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</si>
  <si>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</si>
  <si>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</si>
  <si>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</si>
  <si>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</si>
  <si>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</si>
  <si>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</si>
  <si>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</si>
  <si>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</si>
  <si>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</si>
  <si>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</si>
  <si>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</si>
  <si>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</si>
  <si>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</si>
  <si>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</si>
  <si>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</si>
  <si>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</si>
  <si>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</si>
  <si>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</si>
  <si>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</si>
  <si>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</si>
  <si>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</si>
  <si>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</si>
  <si>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</si>
  <si>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</si>
  <si>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</si>
  <si>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</si>
  <si>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</si>
  <si>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</si>
  <si>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</si>
  <si>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</si>
  <si>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</si>
  <si>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</si>
  <si>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</si>
  <si>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</si>
  <si>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</si>
  <si>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</si>
  <si>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</si>
  <si>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</si>
  <si>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</si>
  <si>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</si>
  <si>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</si>
  <si>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</si>
  <si>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</si>
  <si>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</si>
  <si>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</si>
  <si>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</si>
  <si>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</si>
  <si>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</si>
  <si>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</si>
  <si>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</si>
  <si>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</si>
  <si>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</si>
  <si>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</si>
  <si>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</si>
  <si>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</si>
  <si>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</si>
  <si>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</si>
  <si>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</si>
  <si>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</si>
  <si>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</si>
  <si>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</si>
  <si>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</si>
  <si>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</si>
  <si>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</si>
  <si>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</si>
  <si>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</si>
  <si>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</si>
  <si>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</si>
  <si>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</si>
  <si>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</si>
  <si>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</si>
  <si>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</si>
  <si>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</si>
  <si>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</si>
  <si>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</si>
  <si>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</si>
  <si>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</si>
  <si>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</si>
  <si>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</si>
  <si>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</si>
  <si>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</si>
  <si>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</si>
  <si>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</si>
  <si>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</si>
  <si>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</si>
  <si>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</si>
  <si>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</si>
  <si>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</si>
  <si>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</si>
  <si>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</si>
  <si>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</si>
  <si>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</si>
  <si>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</si>
  <si>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</si>
  <si>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</si>
  <si>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</si>
  <si>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</si>
  <si>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</si>
  <si>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</si>
  <si>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</si>
  <si>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</si>
  <si>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</si>
  <si>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</si>
  <si>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</si>
  <si>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</si>
  <si>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</si>
  <si>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</si>
  <si>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</si>
  <si>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</si>
  <si>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</si>
  <si>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</si>
  <si>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</si>
  <si>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</si>
  <si>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</si>
  <si>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</si>
  <si>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</si>
  <si>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</si>
  <si>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</si>
  <si>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</si>
  <si>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</si>
  <si>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</si>
  <si>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</si>
  <si>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</si>
  <si>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</si>
  <si>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</si>
  <si>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</si>
  <si>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</si>
  <si>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</si>
  <si>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</si>
  <si>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</si>
  <si>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</si>
  <si>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</si>
  <si>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</si>
  <si>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</si>
  <si>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</si>
  <si>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</si>
  <si>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</si>
  <si>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</si>
  <si>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</si>
  <si>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</si>
  <si>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</si>
  <si>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</si>
  <si>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</si>
  <si>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</si>
  <si>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</si>
  <si>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</si>
  <si>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</si>
  <si>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</si>
  <si>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</si>
  <si>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</si>
  <si>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</si>
  <si>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</si>
  <si>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</si>
  <si>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</si>
  <si>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</si>
  <si>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</si>
  <si>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</si>
  <si>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</si>
  <si>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</si>
  <si>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</si>
  <si>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</si>
  <si>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</si>
  <si>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</si>
  <si>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</si>
  <si>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</si>
  <si>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</si>
  <si>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</si>
  <si>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</si>
  <si>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</si>
  <si>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</si>
  <si>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</si>
  <si>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</si>
  <si>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</si>
  <si>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</si>
  <si>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</si>
  <si>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</si>
  <si>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</si>
  <si>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</si>
  <si>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</si>
  <si>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</si>
  <si>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</si>
  <si>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</si>
  <si>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</si>
  <si>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</si>
  <si>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</si>
  <si>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</si>
  <si>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</si>
  <si>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</si>
  <si>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</si>
  <si>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</si>
  <si>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</si>
  <si>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</si>
  <si>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</si>
  <si>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</si>
  <si>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</si>
  <si>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</si>
  <si>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</si>
  <si>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</si>
  <si>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11618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</si>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</sst>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960914</v>
      </c>
      <c r="Q5" s="219">
        <f>SUM('Pt 2 Premium and Claims'!Q$5,'Pt 2 Premium and Claims'!Q$6,-'Pt 2 Premium and Claims'!Q$7,-'Pt 2 Premium and Claims'!Q$13,'Pt 2 Premium and Claims'!Q$14)</f>
        <v>984886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692530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11</v>
      </c>
      <c r="Q7" s="223">
        <v>11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8</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1220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3043414</v>
      </c>
      <c r="Q12" s="219">
        <f>'Pt 2 Premium and Claims'!Q$54</f>
        <v>3575966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91</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-1618462</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1089</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11841</v>
      </c>
      <c r="Q14" s="223">
        <v>125668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47</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-1945</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1727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682304</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651608</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44464</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v>
      </c>
      <c r="E25" s="223">
        <v>3</v>
      </c>
      <c r="F25" s="223"/>
      <c r="G25" s="223"/>
      <c r="H25" s="223"/>
      <c r="I25" s="222">
        <v>0</v>
      </c>
      <c r="J25" s="222">
        <v>0</v>
      </c>
      <c r="K25" s="223">
        <v>0</v>
      </c>
      <c r="L25" s="223"/>
      <c r="M25" s="223"/>
      <c r="N25" s="223"/>
      <c r="O25" s="222"/>
      <c r="P25" s="222">
        <v>-1169792</v>
      </c>
      <c r="Q25" s="223">
        <v>-1169792</v>
      </c>
      <c r="R25" s="223"/>
      <c r="S25" s="223"/>
      <c r="T25" s="223"/>
      <c r="U25" s="222">
        <v>0</v>
      </c>
      <c r="V25" s="223">
        <v>0</v>
      </c>
      <c r="W25" s="223"/>
      <c r="X25" s="222">
        <v>0</v>
      </c>
      <c r="Y25" s="223">
        <v>0</v>
      </c>
      <c r="Z25" s="223"/>
      <c r="AA25" s="222">
        <v>-44</v>
      </c>
      <c r="AB25" s="223">
        <v>-44</v>
      </c>
      <c r="AC25" s="223"/>
      <c r="AD25" s="222"/>
      <c r="AE25" s="276"/>
      <c r="AF25" s="276"/>
      <c r="AG25" s="276"/>
      <c r="AH25" s="279"/>
      <c r="AI25" s="222"/>
      <c r="AJ25" s="276"/>
      <c r="AK25" s="276"/>
      <c r="AL25" s="276"/>
      <c r="AM25" s="279"/>
      <c r="AN25" s="222"/>
      <c r="AO25" s="223"/>
      <c r="AP25" s="223"/>
      <c r="AQ25" s="223"/>
      <c r="AR25" s="223"/>
      <c r="AS25" s="222">
        <v>0</v>
      </c>
      <c r="AT25" s="226">
        <v>1107850</v>
      </c>
      <c r="AU25" s="226">
        <v>0</v>
      </c>
      <c r="AV25" s="226">
        <v>1944865</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2452</v>
      </c>
      <c r="Q26" s="223">
        <v>2452</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22900</v>
      </c>
      <c r="Q27" s="223">
        <v>22900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12388</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2305</v>
      </c>
      <c r="Q28" s="223">
        <v>2305</v>
      </c>
      <c r="R28" s="223"/>
      <c r="S28" s="223"/>
      <c r="T28" s="223"/>
      <c r="U28" s="222">
        <v>0</v>
      </c>
      <c r="V28" s="223">
        <v>0</v>
      </c>
      <c r="W28" s="223"/>
      <c r="X28" s="222">
        <v>0</v>
      </c>
      <c r="Y28" s="223">
        <v>0</v>
      </c>
      <c r="Z28" s="223"/>
      <c r="AA28" s="222">
        <v>-1</v>
      </c>
      <c r="AB28" s="223">
        <v>-1</v>
      </c>
      <c r="AC28" s="223"/>
      <c r="AD28" s="222"/>
      <c r="AE28" s="276"/>
      <c r="AF28" s="276"/>
      <c r="AG28" s="276"/>
      <c r="AH28" s="276"/>
      <c r="AI28" s="222"/>
      <c r="AJ28" s="276"/>
      <c r="AK28" s="276"/>
      <c r="AL28" s="276"/>
      <c r="AM28" s="276"/>
      <c r="AN28" s="222"/>
      <c r="AO28" s="223"/>
      <c r="AP28" s="223"/>
      <c r="AQ28" s="223"/>
      <c r="AR28" s="223"/>
      <c r="AS28" s="222">
        <v>0</v>
      </c>
      <c r="AT28" s="226">
        <v>616</v>
      </c>
      <c r="AU28" s="226">
        <v>0</v>
      </c>
      <c r="AV28" s="226">
        <v>47923</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8144</v>
      </c>
      <c r="Q30" s="223">
        <v>8144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5762</v>
      </c>
      <c r="AU30" s="226">
        <v>0</v>
      </c>
      <c r="AV30" s="226">
        <v>764</v>
      </c>
      <c r="AW30" s="303"/>
    </row>
    <row r="31" spans="1:49" x14ac:dyDescent="0.2">
      <c r="B31" s="248" t="s">
        <v>247</v>
      </c>
      <c r="C31" s="209"/>
      <c r="D31" s="222">
        <v>0</v>
      </c>
      <c r="E31" s="223">
        <v>0</v>
      </c>
      <c r="F31" s="223"/>
      <c r="G31" s="223"/>
      <c r="H31" s="223"/>
      <c r="I31" s="222">
        <v>0</v>
      </c>
      <c r="J31" s="222">
        <v>0</v>
      </c>
      <c r="K31" s="223">
        <v>0</v>
      </c>
      <c r="L31" s="223"/>
      <c r="M31" s="223"/>
      <c r="N31" s="223"/>
      <c r="O31" s="222"/>
      <c r="P31" s="222">
        <v>6879</v>
      </c>
      <c r="Q31" s="223">
        <v>6879</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4883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52096</v>
      </c>
      <c r="Q34" s="223">
        <v>52096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-447</v>
      </c>
      <c r="Q35" s="223">
        <v>-447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-14</v>
      </c>
      <c r="AU35" s="226">
        <v>0</v>
      </c>
      <c r="AV35" s="226">
        <v>-2349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688</v>
      </c>
      <c r="Q37" s="231">
        <v>708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v>
      </c>
      <c r="AU37" s="232">
        <v>0</v>
      </c>
      <c r="AV37" s="232">
        <v>348</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62</v>
      </c>
      <c r="Q38" s="223">
        <v>63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14</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-48</v>
      </c>
      <c r="Q39" s="223">
        <v>97</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-5</v>
      </c>
      <c r="AU39" s="226">
        <v>0</v>
      </c>
      <c r="AV39" s="226">
        <v>628</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468</v>
      </c>
      <c r="Q40" s="223">
        <v>470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-5</v>
      </c>
      <c r="AU40" s="226">
        <v>0</v>
      </c>
      <c r="AV40" s="226">
        <v>553</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442</v>
      </c>
      <c r="Q41" s="223">
        <v>444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11</v>
      </c>
      <c r="AU41" s="226">
        <v>0</v>
      </c>
      <c r="AV41" s="226">
        <v>6917</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14</v>
      </c>
      <c r="Q42" s="223">
        <v>14</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376</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5714</v>
      </c>
      <c r="Q44" s="231">
        <v>6322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-262</v>
      </c>
      <c r="AU44" s="232">
        <v>0</v>
      </c>
      <c r="AV44" s="232">
        <v>157610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-3968</v>
      </c>
      <c r="Q45" s="223">
        <v>-3968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122</v>
      </c>
      <c r="AU45" s="226">
        <v>0</v>
      </c>
      <c r="AV45" s="226">
        <v>3914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6610</v>
      </c>
      <c r="Q46" s="223">
        <v>6610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569</v>
      </c>
      <c r="AU46" s="226">
        <v>0</v>
      </c>
      <c r="AV46" s="226">
        <v>69258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13279</v>
      </c>
      <c r="Q47" s="223">
        <v>13279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9425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-3118</v>
      </c>
      <c r="Q49" s="223">
        <v>-3118</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57</v>
      </c>
      <c r="AU49" s="226">
        <v>0</v>
      </c>
      <c r="AV49" s="226">
        <v>15269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67</v>
      </c>
      <c r="Q50" s="223">
        <v>67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16</v>
      </c>
      <c r="AU50" s="226">
        <v>0</v>
      </c>
      <c r="AV50" s="226">
        <v>2559</v>
      </c>
      <c r="AW50" s="303"/>
    </row>
    <row r="51" spans="2:49" x14ac:dyDescent="0.2">
      <c r="B51" s="245" t="s">
        <v>266</v>
      </c>
      <c r="C51" s="209"/>
      <c r="D51" s="222">
        <v>0</v>
      </c>
      <c r="E51" s="223">
        <v>0</v>
      </c>
      <c r="F51" s="223"/>
      <c r="G51" s="223"/>
      <c r="H51" s="223"/>
      <c r="I51" s="222">
        <v>0</v>
      </c>
      <c r="J51" s="222">
        <v>0</v>
      </c>
      <c r="K51" s="223">
        <v>0</v>
      </c>
      <c r="L51" s="223"/>
      <c r="M51" s="223"/>
      <c r="N51" s="223"/>
      <c r="O51" s="222"/>
      <c r="P51" s="222">
        <v>280244</v>
      </c>
      <c r="Q51" s="223">
        <v>280244</v>
      </c>
      <c r="R51" s="223"/>
      <c r="S51" s="223"/>
      <c r="T51" s="223"/>
      <c r="U51" s="222">
        <v>0</v>
      </c>
      <c r="V51" s="223">
        <v>0</v>
      </c>
      <c r="W51" s="223"/>
      <c r="X51" s="222">
        <v>0</v>
      </c>
      <c r="Y51" s="223">
        <v>0</v>
      </c>
      <c r="Z51" s="223"/>
      <c r="AA51" s="222">
        <v>1</v>
      </c>
      <c r="AB51" s="223">
        <v>1</v>
      </c>
      <c r="AC51" s="223"/>
      <c r="AD51" s="222"/>
      <c r="AE51" s="276"/>
      <c r="AF51" s="276"/>
      <c r="AG51" s="276"/>
      <c r="AH51" s="276"/>
      <c r="AI51" s="222"/>
      <c r="AJ51" s="276"/>
      <c r="AK51" s="276"/>
      <c r="AL51" s="276"/>
      <c r="AM51" s="276"/>
      <c r="AN51" s="222"/>
      <c r="AO51" s="223"/>
      <c r="AP51" s="223"/>
      <c r="AQ51" s="223"/>
      <c r="AR51" s="223"/>
      <c r="AS51" s="222">
        <v>0</v>
      </c>
      <c r="AT51" s="226">
        <v>832</v>
      </c>
      <c r="AU51" s="226">
        <v>0</v>
      </c>
      <c r="AV51" s="226">
        <v>2505363</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91</v>
      </c>
      <c r="Q53" s="223">
        <v>91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256</v>
      </c>
      <c r="AU53" s="226">
        <v>0</v>
      </c>
      <c r="AV53" s="226">
        <v>714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4725215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195</v>
      </c>
      <c r="Q56" s="235">
        <v>195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404</v>
      </c>
      <c r="AU56" s="236">
        <v>0</v>
      </c>
      <c r="AV56" s="236">
        <v>919</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416</v>
      </c>
      <c r="Q57" s="238">
        <v>416</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827</v>
      </c>
      <c r="AU57" s="239">
        <v>0</v>
      </c>
      <c r="AV57" s="239">
        <v>1771</v>
      </c>
      <c r="AW57" s="295"/>
    </row>
    <row r="58" spans="2:49" x14ac:dyDescent="0.2">
      <c r="B58" s="251" t="s">
        <v>273</v>
      </c>
      <c r="C58" s="209" t="s">
        <v>26</v>
      </c>
      <c r="D58" s="315"/>
      <c r="E58" s="316"/>
      <c r="F58" s="316"/>
      <c r="G58" s="316"/>
      <c r="H58" s="316"/>
      <c r="I58" s="315"/>
      <c r="J58" s="237">
        <v>0</v>
      </c>
      <c r="K58" s="238">
        <v>0</v>
      </c>
      <c r="L58" s="238"/>
      <c r="M58" s="238"/>
      <c r="N58" s="238"/>
      <c r="O58" s="237"/>
      <c r="P58" s="237">
        <v>1</v>
      </c>
      <c r="Q58" s="238">
        <v>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3</v>
      </c>
      <c r="AU58" s="239">
        <v>0</v>
      </c>
      <c r="AV58" s="239">
        <v>1</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5028</v>
      </c>
      <c r="Q59" s="238">
        <v>5028</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16793</v>
      </c>
      <c r="AU59" s="239">
        <v>0</v>
      </c>
      <c r="AV59" s="239">
        <v>22239</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419</v>
      </c>
      <c r="Q60" s="241">
        <f>Q$59/12</f>
        <v>419</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1399.4166666666667</v>
      </c>
      <c r="AU60" s="242">
        <f>AU$59/12</f>
        <v>0</v>
      </c>
      <c r="AV60" s="242">
        <f>AV$59/12</f>
        <v>1853.25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76022733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1411951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957031</v>
      </c>
      <c r="Q5" s="332">
        <v>968770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676368</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13641</v>
      </c>
      <c r="Q6" s="325">
        <v>13641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6560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195</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157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3974260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3974260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143139</v>
      </c>
      <c r="Q11" s="325">
        <v>-1916190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438129</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2059329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2556110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9563</v>
      </c>
      <c r="Q13" s="325">
        <v>-2475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-9759</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v>
      </c>
      <c r="E23" s="368"/>
      <c r="F23" s="368"/>
      <c r="G23" s="368"/>
      <c r="H23" s="368"/>
      <c r="I23" s="370"/>
      <c r="J23" s="324">
        <v>0</v>
      </c>
      <c r="K23" s="368"/>
      <c r="L23" s="368"/>
      <c r="M23" s="368"/>
      <c r="N23" s="368"/>
      <c r="O23" s="370"/>
      <c r="P23" s="324">
        <v>811164</v>
      </c>
      <c r="Q23" s="368"/>
      <c r="R23" s="368"/>
      <c r="S23" s="368"/>
      <c r="T23" s="368"/>
      <c r="U23" s="324">
        <v>0</v>
      </c>
      <c r="V23" s="368"/>
      <c r="W23" s="368"/>
      <c r="X23" s="324">
        <v>0</v>
      </c>
      <c r="Y23" s="368"/>
      <c r="Z23" s="368"/>
      <c r="AA23" s="324">
        <v>91</v>
      </c>
      <c r="AB23" s="368"/>
      <c r="AC23" s="368"/>
      <c r="AD23" s="324"/>
      <c r="AE23" s="368"/>
      <c r="AF23" s="368"/>
      <c r="AG23" s="368"/>
      <c r="AH23" s="368"/>
      <c r="AI23" s="324"/>
      <c r="AJ23" s="368"/>
      <c r="AK23" s="368"/>
      <c r="AL23" s="368"/>
      <c r="AM23" s="368"/>
      <c r="AN23" s="324"/>
      <c r="AO23" s="368"/>
      <c r="AP23" s="368"/>
      <c r="AQ23" s="368"/>
      <c r="AR23" s="368"/>
      <c r="AS23" s="324">
        <v>0</v>
      </c>
      <c r="AT23" s="327">
        <v>918037</v>
      </c>
      <c r="AU23" s="327">
        <v>0</v>
      </c>
      <c r="AV23" s="374"/>
      <c r="AW23" s="380"/>
    </row>
    <row r="24" spans="2:49" ht="28.5" customHeight="1" x14ac:dyDescent="0.2">
      <c r="B24" s="351" t="s">
        <v>114</v>
      </c>
      <c r="C24" s="337"/>
      <c r="D24" s="371"/>
      <c r="E24" s="325">
        <v>-1</v>
      </c>
      <c r="F24" s="325"/>
      <c r="G24" s="325"/>
      <c r="H24" s="325"/>
      <c r="I24" s="324">
        <v>0</v>
      </c>
      <c r="J24" s="371"/>
      <c r="K24" s="325">
        <v>0</v>
      </c>
      <c r="L24" s="325"/>
      <c r="M24" s="325"/>
      <c r="N24" s="325"/>
      <c r="O24" s="324"/>
      <c r="P24" s="371"/>
      <c r="Q24" s="325">
        <v>805586</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902895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30377</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713582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822496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432380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3234</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7657</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836</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24172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4030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4030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5285</v>
      </c>
      <c r="Q36" s="325">
        <v>5285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3974260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3974260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143139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438129</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-1916190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2059329</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2556110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31</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19607</v>
      </c>
      <c r="Q49" s="325">
        <v>17</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112214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3043414</v>
      </c>
      <c r="Q54" s="329">
        <f>Q24+Q27+Q31+Q35-Q36+Q39+Q42+Q45+Q46-Q49+Q51+Q52+Q53</f>
        <v>3575966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91</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-1618462</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605599</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-8763</v>
      </c>
      <c r="D6" s="404">
        <v>-1414</v>
      </c>
      <c r="E6" s="406">
        <f>SUM('Pt 1 Summary of Data'!E$12,'Pt 1 Summary of Data'!E$22)+SUM('Pt 1 Summary of Data'!G$12,'Pt 1 Summary of Data'!G$22)-SUM('Pt 1 Summary of Data'!H$12,'Pt 1 Summary of Data'!H$22)</f>
        <v>-1</v>
      </c>
      <c r="F6" s="406">
        <f>SUM(C6:E6)</f>
        <v>-10178</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26958162</v>
      </c>
      <c r="N6" s="404">
        <v>7231679</v>
      </c>
      <c r="O6" s="406">
        <f>SUM('Pt 1 Summary of Data'!Q$12,'Pt 1 Summary of Data'!Q$22)+SUM('Pt 1 Summary of Data'!S$12,'Pt 1 Summary of Data'!S$22)-SUM('Pt 1 Summary of Data'!T$12,'Pt 1 Summary of Data'!T$22)</f>
        <v>3575966</v>
      </c>
      <c r="P6" s="406">
        <f>SUM(M6:O6)</f>
        <v>37765807</v>
      </c>
      <c r="Q6" s="403">
        <v>0</v>
      </c>
      <c r="R6" s="404">
        <v>0</v>
      </c>
      <c r="S6" s="406">
        <f>SUM('Pt 1 Summary of Data'!V$12,'Pt 1 Summary of Data'!V$22)</f>
        <v>0</v>
      </c>
      <c r="T6" s="406">
        <f>SUM(Q6:S6)</f>
        <v>0</v>
      </c>
      <c r="U6" s="403">
        <v>0</v>
      </c>
      <c r="V6" s="404">
        <v>0</v>
      </c>
      <c r="W6" s="406">
        <f>SUM('Pt 1 Summary of Data'!Y$12,'Pt 1 Summary of Data'!Y$22)</f>
        <v>0</v>
      </c>
      <c r="X6" s="406">
        <f>SUM(U6:W6)</f>
        <v>0</v>
      </c>
      <c r="Y6" s="403">
        <v>91</v>
      </c>
      <c r="Z6" s="404">
        <v>0</v>
      </c>
      <c r="AA6" s="406">
        <f>SUM('Pt 1 Summary of Data'!AB$12,'Pt 1 Summary of Data'!AB$22)</f>
        <v>0</v>
      </c>
      <c r="AB6" s="406">
        <f>SUM(Y6:AA6)</f>
        <v>91</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213893</v>
      </c>
      <c r="N7" s="404">
        <v>14625</v>
      </c>
      <c r="O7" s="406">
        <f>SUM('Pt 1 Summary of Data'!Q$37:Q$41)+SUM('Pt 1 Summary of Data'!S$37:S$41)-SUM('Pt 1 Summary of Data'!T$37:T$41)+MAX(0,MIN('Pt 1 Summary of Data'!Q$42+'Pt 1 Summary of Data'!S$42-'Pt 1 Summary of Data'!T$42,0.3%*('Pt 1 Summary of Data'!Q$5+'Pt 1 Summary of Data'!S$5-'Pt 1 Summary of Data'!T$5)))</f>
        <v>1796</v>
      </c>
      <c r="P7" s="406">
        <f>SUM(M7:O7)</f>
        <v>230314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-8763</v>
      </c>
      <c r="D12" s="406">
        <f>SUM(D$6:D$7) - SUM(D$8:D$11)+IF(AND(OR('Company Information'!$C$12="District of Columbia",'Company Information'!$C$12="Massachusetts",'Company Information'!$C$12="Vermont"),SUM($C$6:$F$11,$C$15:$F$16,$C$38:$D$38)&lt;&gt;0),SUM(I$6:I$7) - SUM(I$10:I$11),0)</f>
        <v>-1414</v>
      </c>
      <c r="E12" s="406">
        <f>SUM(E$6:E$7)-SUM(E$8:E$11)+IF(AND(OR('Company Information'!$C$12="District of Columbia",'Company Information'!$C$12="Massachusetts",'Company Information'!$C$12="Vermont"),SUM($C$6:$F$11,$C$15:$F$16,$C$38:$D$38)&lt;&gt;0),SUM(J$6:J$7)-SUM(J$10:J$11),0)</f>
        <v>-1</v>
      </c>
      <c r="F12" s="406">
        <f>IFERROR(SUM(C$12:E$12)+C$17*MAX(0,E$50-C$50)+D$17*MAX(0,E$50-D$50),0)</f>
        <v>-10178</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27172055</v>
      </c>
      <c r="N12" s="406">
        <f>SUM(N$6:N$7)</f>
        <v>7246304</v>
      </c>
      <c r="O12" s="406">
        <f>SUM(O$6:O$7)</f>
        <v>3577762</v>
      </c>
      <c r="P12" s="406">
        <f>SUM(M$12:O$12)+M$17*MAX(0,O$50-M$50)+N$17*MAX(0,O$50-N$50)</f>
        <v>37996121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136.5</v>
      </c>
      <c r="Z13" s="406">
        <f>1.25*SUM(Z$6:Z$7)</f>
        <v>0</v>
      </c>
      <c r="AA13" s="406">
        <f>SUM(AA$6:AA$7)</f>
        <v>0</v>
      </c>
      <c r="AB13" s="406">
        <f>SUM(AB$6:AB$7)+Y$17*MAX(0,AA$50-Y$50)+Z$17*MAX(0,AA$50-Z$50)</f>
        <v>91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39938171</v>
      </c>
      <c r="N15" s="409">
        <v>9637395</v>
      </c>
      <c r="O15" s="401">
        <f>SUM('Pt 1 Summary of Data'!Q$5:Q$7)+SUM('Pt 1 Summary of Data'!S$5:S$7)-SUM('Pt 1 Summary of Data'!T$5:T$7)+N$56</f>
        <v>984897</v>
      </c>
      <c r="P15" s="401">
        <f>SUM(M15:O15)</f>
        <v>50560463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-394827</v>
      </c>
      <c r="D16" s="404">
        <v>-259</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v>
      </c>
      <c r="F16" s="406">
        <f>SUM(C16:E16)</f>
        <v>-395083</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3541222</v>
      </c>
      <c r="N16" s="404">
        <v>-251065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-1075463</v>
      </c>
      <c r="P16" s="406">
        <f>SUM(M16:O16)</f>
        <v>2214694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-45</v>
      </c>
      <c r="AB16" s="406">
        <f>SUM(Y16:AA16)</f>
        <v>-45</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394827</v>
      </c>
      <c r="D17" s="406">
        <f>D$15-D$16+IF(AND(OR('Company Information'!$C$12="District of Columbia",'Company Information'!$C$12="Massachusetts",'Company Information'!$C$12="Vermont"),SUM($C$6:$F$11,$C$15:$F$16,$C$38:$D$38)&lt;&gt;0),I$15-I$16,0)</f>
        <v>259</v>
      </c>
      <c r="E17" s="406">
        <f>E$15-E$16+IF(AND(OR('Company Information'!$C$12="District of Columbia",'Company Information'!$C$12="Massachusetts",'Company Information'!$C$12="Vermont"),SUM($C$6:$F$11,$C$15:$F$16,$C$38:$D$38)&lt;&gt;0),J$15-J$16,0)</f>
        <v>-3</v>
      </c>
      <c r="F17" s="406">
        <f>F$15-F$16+IF(AND(OR('Company Information'!$C$12="District of Columbia",'Company Information'!$C$12="Massachusetts",'Company Information'!$C$12="Vermont"),SUM($C$6:$F$11,$C$15:$F$16,$C$38:$D$38)&lt;&gt;0),K$15-K$16,0)</f>
        <v>395083</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36396949</v>
      </c>
      <c r="N17" s="406">
        <f>N$15-N$16</f>
        <v>9888460</v>
      </c>
      <c r="O17" s="406">
        <f>O$15-O$16</f>
        <v>2060360</v>
      </c>
      <c r="P17" s="406">
        <f>P$15-P$16</f>
        <v>48345769</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45</v>
      </c>
      <c r="AB17" s="406">
        <f>AB$15-AB$16</f>
        <v>45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9429.8042000000005</v>
      </c>
      <c r="N38" s="411">
        <v>1242.25</v>
      </c>
      <c r="O38" s="438">
        <f>('Pt 1 Summary of Data'!Q$59+'Pt 1 Summary of Data'!S$59-'Pt 1 Summary of Data'!T$59)/12</f>
        <v>419</v>
      </c>
      <c r="P38" s="438">
        <f>SUM(M$38:O$38)</f>
        <v>11091.0542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2.5272630533333333E-2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2.5272630533333333E-2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0.7465476021080778</v>
      </c>
      <c r="N45" s="442">
        <f>IF(OR(N$38&lt;1000,N$17&lt;=0),"",N$12/N$17)</f>
        <v>0.73280409689678672</v>
      </c>
      <c r="O45" s="442" t="str">
        <f>IF(OR(O$38&lt;1000,O$17&lt;=0),"",O$12/O$17)</f>
        <v/>
      </c>
      <c r="P45" s="442">
        <f>IF(OR(P$38&lt;1000,P$17&lt;=0),"",P$12/P$17)</f>
        <v>0.78592443115342725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2.5272630533333333E-2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0.81100000000000005</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0.81100000000000005</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2060360</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80354.039999999848</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195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80354.039999999848</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80354</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682304</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2016-07-28T17:23:15Z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