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P15" i="10"/>
  <c r="P17" i="10" s="1"/>
  <c r="O17" i="10"/>
  <c r="O44" i="10"/>
  <c r="P37" i="10"/>
  <c r="L20" i="10"/>
  <c r="L19" i="10"/>
  <c r="T15" i="10"/>
  <c r="S17" i="10"/>
  <c r="S45" i="10" s="1"/>
  <c r="E6" i="10"/>
  <c r="F37" i="10"/>
  <c r="X37" i="10"/>
  <c r="X6" i="10"/>
  <c r="L25" i="10"/>
  <c r="J12" i="10"/>
  <c r="K6" i="10"/>
  <c r="H17" i="10" s="1"/>
  <c r="H12" i="10"/>
  <c r="T37" i="10"/>
  <c r="AB37" i="10"/>
  <c r="T6" i="10"/>
  <c r="S13" i="10"/>
  <c r="L29" i="10"/>
  <c r="L21" i="10"/>
  <c r="L28" i="10"/>
  <c r="L24" i="10"/>
  <c r="L23" i="10" s="1"/>
  <c r="K15" i="10"/>
  <c r="K17" i="10" s="1"/>
  <c r="J17" i="10"/>
  <c r="J44" i="10" s="1"/>
  <c r="K37" i="10"/>
  <c r="O6" i="10"/>
  <c r="AA13" i="10"/>
  <c r="AB6" i="10"/>
  <c r="AB13" i="10" s="1"/>
  <c r="J7" i="10"/>
  <c r="K7" i="10" s="1"/>
  <c r="S7" i="10"/>
  <c r="T7" i="10" s="1"/>
  <c r="AA15" i="10"/>
  <c r="E7" i="10"/>
  <c r="F7" i="10" s="1"/>
  <c r="O7" i="10"/>
  <c r="P7" i="10" s="1"/>
  <c r="W15" i="10"/>
  <c r="G7" i="10"/>
  <c r="G19" i="10" s="1"/>
  <c r="U13" i="10" l="1"/>
  <c r="H44" i="10"/>
  <c r="G24" i="10"/>
  <c r="AA17" i="10"/>
  <c r="AA45" i="10" s="1"/>
  <c r="AB15" i="10"/>
  <c r="AB17" i="10" s="1"/>
  <c r="AB45" i="10" s="1"/>
  <c r="AB47" i="10" s="1"/>
  <c r="AB50" i="10" s="1"/>
  <c r="R13" i="10"/>
  <c r="Q17" i="10"/>
  <c r="T51" i="10"/>
  <c r="T52" i="10" s="1"/>
  <c r="F11" i="16" s="1"/>
  <c r="T46" i="10"/>
  <c r="T38" i="10"/>
  <c r="T41" i="10"/>
  <c r="I17" i="10"/>
  <c r="I44" i="10" s="1"/>
  <c r="K38" i="10" s="1"/>
  <c r="G25" i="10"/>
  <c r="F51" i="10"/>
  <c r="F52" i="10" s="1"/>
  <c r="C11" i="16" s="1"/>
  <c r="F46" i="10"/>
  <c r="F44" i="10"/>
  <c r="F47" i="10" s="1"/>
  <c r="F50" i="10" s="1"/>
  <c r="F41" i="10"/>
  <c r="T17" i="10"/>
  <c r="T45" i="10" s="1"/>
  <c r="T47" i="10" s="1"/>
  <c r="T50" i="10" s="1"/>
  <c r="G20" i="10"/>
  <c r="P51" i="10"/>
  <c r="P38" i="10"/>
  <c r="P44" i="10"/>
  <c r="P41" i="10"/>
  <c r="P46" i="10" s="1"/>
  <c r="Q13" i="10"/>
  <c r="G28" i="10"/>
  <c r="G29" i="10"/>
  <c r="V17" i="10"/>
  <c r="V45" i="10" s="1"/>
  <c r="AB41" i="10"/>
  <c r="AB46" i="10" s="1"/>
  <c r="AB51" i="10"/>
  <c r="AB38" i="10"/>
  <c r="G21" i="10"/>
  <c r="W17" i="10"/>
  <c r="W45" i="10" s="1"/>
  <c r="X15" i="10"/>
  <c r="O12" i="10"/>
  <c r="P12" i="10" s="1"/>
  <c r="P6" i="10"/>
  <c r="K51" i="10"/>
  <c r="K52" i="10" s="1"/>
  <c r="D11" i="16" s="1"/>
  <c r="K46" i="10"/>
  <c r="K44" i="10"/>
  <c r="K47" i="10" s="1"/>
  <c r="K50" i="10" s="1"/>
  <c r="K41" i="10"/>
  <c r="R17" i="10"/>
  <c r="R45" i="10" s="1"/>
  <c r="I12" i="10"/>
  <c r="X41" i="10"/>
  <c r="X51" i="10"/>
  <c r="X52" i="10" s="1"/>
  <c r="G11" i="16" s="1"/>
  <c r="X46" i="10"/>
  <c r="X38" i="10"/>
  <c r="C17" i="10"/>
  <c r="D17" i="10"/>
  <c r="D44" i="10" s="1"/>
  <c r="C12" i="10"/>
  <c r="D12" i="10"/>
  <c r="F6" i="10"/>
  <c r="E17" i="10" s="1"/>
  <c r="E44" i="10" s="1"/>
  <c r="L27" i="10"/>
  <c r="F17" i="10"/>
  <c r="AB52" i="10" l="1"/>
  <c r="H11" i="16" s="1"/>
  <c r="G23" i="10"/>
  <c r="P47" i="10"/>
  <c r="P50" i="10" s="1"/>
  <c r="L31" i="10"/>
  <c r="L32" i="10" s="1"/>
  <c r="L33" i="10" s="1"/>
  <c r="L26" i="10"/>
  <c r="L30" i="10" s="1"/>
  <c r="C44" i="10"/>
  <c r="F38" i="10" s="1"/>
  <c r="P52" i="10"/>
  <c r="E11" i="16" s="1"/>
  <c r="G27" i="10"/>
  <c r="K12" i="10"/>
  <c r="E12" i="10"/>
  <c r="F12" i="10" s="1"/>
  <c r="X17" i="10"/>
  <c r="X45" i="10" s="1"/>
  <c r="X47" i="10" s="1"/>
  <c r="X50" i="10" s="1"/>
  <c r="U17" i="10"/>
  <c r="V13" i="10"/>
  <c r="Q45" i="10"/>
  <c r="T13" i="10"/>
  <c r="W13" i="10"/>
  <c r="U45" i="10" l="1"/>
  <c r="X13" i="10"/>
  <c r="G26" i="10"/>
  <c r="G30" i="10" s="1"/>
  <c r="G31" i="10"/>
  <c r="G32" i="10" s="1"/>
  <c r="G33"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<sst xmlns="http://schemas.openxmlformats.org/spreadsheetml/2006/main" count="570" uniqueCount="508">
  <si>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</si>
  <si>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</si>
  <si>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</si>
  <si>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</si>
  <si>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</si>
  <si>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</si>
  <si>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</si>
  <si>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</si>
  <si>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</si>
  <si>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</si>
  <si>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</si>
  <si>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</si>
  <si>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</si>
  <si>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</si>
  <si>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</si>
  <si>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</si>
  <si>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</si>
  <si>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</si>
  <si>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</si>
  <si>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</si>
  <si>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</si>
  <si>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</si>
  <si>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</si>
  <si>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</si>
  <si>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</si>
  <si>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</si>
  <si>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</si>
  <si>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</si>
  <si>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</si>
  <si>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</si>
  <si>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</si>
  <si>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</si>
  <si>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</si>
  <si>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</si>
  <si>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</si>
  <si>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</si>
  <si>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</si>
  <si>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</si>
  <si>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</si>
  <si>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</si>
  <si>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</si>
  <si>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</si>
  <si>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</si>
  <si>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</si>
  <si>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</si>
  <si>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</si>
  <si>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</si>
  <si>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</si>
  <si>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</si>
  <si>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</si>
  <si>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</si>
  <si>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</si>
  <si>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</si>
  <si>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</si>
  <si>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</si>
  <si>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</si>
  <si>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</si>
  <si>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</si>
  <si>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</si>
  <si>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</si>
  <si>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</si>
  <si>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</si>
  <si>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</si>
  <si>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</si>
  <si>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</si>
  <si>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</si>
  <si>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</si>
  <si>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</si>
  <si>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</si>
  <si>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</si>
  <si>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</si>
  <si>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</si>
  <si>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</si>
  <si>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</si>
  <si>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</si>
  <si>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</si>
  <si>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</si>
  <si>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</si>
  <si>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</si>
  <si>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</si>
  <si>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</si>
  <si>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</si>
  <si>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</si>
  <si>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</si>
  <si>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</si>
  <si>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</si>
  <si>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</si>
  <si>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</si>
  <si>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</si>
  <si>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</si>
  <si>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</si>
  <si>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</si>
  <si>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</si>
  <si>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</si>
  <si>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</si>
  <si>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</si>
  <si>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</si>
  <si>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</si>
  <si>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</si>
  <si>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</si>
  <si>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</si>
  <si>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</si>
  <si>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</si>
  <si>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</si>
  <si>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</si>
  <si>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</si>
  <si>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</si>
  <si>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</si>
  <si>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</si>
  <si>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</si>
  <si>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</si>
  <si>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</si>
  <si>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</si>
  <si>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</si>
  <si>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</si>
  <si>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</si>
  <si>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</si>
  <si>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</si>
  <si>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</si>
  <si>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</si>
  <si>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</si>
  <si>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</si>
  <si>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</si>
  <si>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</si>
  <si>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</si>
  <si>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</si>
  <si>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</si>
  <si>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</si>
  <si>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</si>
  <si>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</si>
  <si>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</si>
  <si>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</si>
  <si>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</si>
  <si>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</si>
  <si>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</si>
  <si>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</si>
  <si>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</si>
  <si>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</si>
  <si>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</si>
  <si>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</si>
  <si>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</si>
  <si>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</si>
  <si>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</si>
  <si>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</si>
  <si>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</si>
  <si>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</si>
  <si>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</si>
  <si>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</si>
  <si>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</si>
  <si>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</si>
  <si>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</si>
  <si>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</si>
  <si>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</si>
  <si>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</si>
  <si>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</si>
  <si>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</si>
  <si>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</si>
  <si>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</si>
  <si>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</si>
  <si>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</si>
  <si>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</si>
  <si>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</si>
  <si>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</si>
  <si>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</si>
  <si>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</si>
  <si>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</si>
  <si>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</si>
  <si>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</si>
  <si>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</si>
  <si>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</si>
  <si>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</si>
  <si>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</si>
  <si>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</si>
  <si>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</si>
  <si>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</si>
  <si>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</si>
  <si>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</si>
  <si>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</si>
  <si>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</si>
  <si>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</si>
  <si>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</si>
  <si>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</si>
  <si>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</si>
  <si>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</si>
  <si>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</si>
  <si>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</si>
  <si>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</si>
  <si>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</si>
  <si>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</si>
  <si>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</si>
  <si>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</si>
  <si>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</si>
  <si>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</si>
  <si>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</si>
  <si>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</si>
  <si>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</si>
  <si>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</si>
  <si>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</si>
  <si>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</si>
  <si>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</si>
  <si>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</si>
  <si>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</si>
  <si>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</si>
  <si>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</si>
  <si>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</si>
  <si>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</si>
  <si>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</si>
  <si>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</si>
  <si>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</si>
  <si>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</si>
  <si>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</si>
  <si>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</si>
  <si>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</si>
  <si>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</si>
  <si>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</si>
  <si>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</si>
  <si>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</si>
  <si>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</si>
  <si>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</si>
  <si>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</si>
  <si>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</si>
  <si>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</si>
  <si>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</si>
  <si>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</si>
  <si>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</si>
  <si>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</si>
  <si>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</si>
  <si>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</si>
  <si>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</si>
  <si>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</si>
  <si>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</si>
  <si>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</si>
  <si>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</si>
  <si>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</si>
  <si>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</si>
  <si>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</si>
  <si>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</si>
  <si>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</si>
  <si>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</si>
  <si>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</si>
  <si>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</si>
  <si>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</si>
  <si>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</si>
  <si>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</si>
  <si>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</si>
  <si>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</si>
  <si>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</si>
  <si>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</si>
  <si>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</si>
  <si>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</si>
  <si>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</si>
  <si>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</si>
  <si>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</si>
  <si>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</si>
  <si>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</si>
  <si>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</si>
  <si>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</si>
  <si>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</si>
  <si>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</si>
  <si>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</si>
  <si>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</si>
  <si>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</si>
  <si>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</si>
  <si>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</si>
  <si>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</si>
  <si>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</si>
  <si>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</si>
  <si>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</si>
  <si>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</si>
  <si>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</si>
  <si>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</si>
  <si>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</si>
  <si>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</si>
  <si>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</si>
  <si>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</si>
  <si>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</si>
  <si>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</si>
  <si>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</si>
  <si>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</si>
  <si>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</si>
  <si>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</si>
  <si>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</si>
  <si>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</si>
  <si>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</si>
  <si>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</si>
  <si>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</si>
  <si>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</si>
  <si>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</si>
  <si>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</si>
  <si>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</si>
  <si>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</si>
  <si>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</si>
  <si>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</si>
  <si>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</si>
  <si>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</si>
  <si>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</si>
  <si>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</si>
  <si>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</si>
  <si>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</si>
  <si>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</si>
  <si>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</si>
  <si>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</si>
  <si>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</si>
  <si>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</si>
  <si>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</si>
  <si>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</si>
  <si>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</si>
  <si>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</si>
  <si>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</si>
  <si>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</si>
  <si>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</si>
  <si>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</si>
  <si>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</si>
  <si>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</si>
  <si>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</si>
  <si>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</si>
  <si>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</si>
  <si>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</si>
  <si>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</si>
  <si>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</si>
  <si>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</si>
  <si>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</si>
  <si>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</si>
  <si>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</si>
  <si>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</si>
  <si>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</si>
  <si>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</si>
  <si>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</si>
  <si>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</si>
  <si>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</si>
  <si>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</si>
  <si>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</si>
  <si>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</si>
  <si>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</si>
  <si>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</si>
  <si>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</si>
  <si>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</si>
  <si>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</si>
  <si>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</si>
  <si>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</si>
  <si>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</si>
  <si>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</si>
  <si>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</si>
  <si>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</si>
  <si>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</si>
  <si>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</si>
  <si>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</si>
  <si>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</si>
  <si>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</si>
  <si>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</si>
  <si>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</si>
  <si>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</si>
  <si>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</si>
  <si>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</si>
  <si>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</si>
  <si>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</si>
  <si>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</si>
  <si>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</si>
  <si>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</si>
  <si>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</si>
  <si>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</si>
  <si>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</si>
  <si>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</si>
  <si>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</si>
  <si>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</si>
  <si>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</si>
  <si>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</si>
  <si>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</si>
  <si>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</si>
  <si>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</si>
  <si>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</si>
  <si>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</si>
  <si>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</si>
  <si>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</si>
  <si>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</si>
  <si>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</si>
  <si>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</si>
  <si>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</si>
  <si>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</si>
  <si>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</si>
  <si>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</si>
  <si>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</si>
  <si>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</si>
  <si>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</si>
  <si>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</si>
  <si>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</si>
  <si>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</si>
  <si>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</si>
  <si>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</si>
  <si>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</si>
  <si>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</si>
  <si>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</si>
  <si>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</si>
  <si>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</si>
  <si>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</si>
  <si>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</si>
  <si>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</si>
  <si>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</si>
  <si>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</si>
  <si>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</si>
  <si>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</si>
  <si>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</si>
  <si>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</si>
  <si>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</si>
  <si>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</si>
  <si>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</si>
  <si>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</si>
  <si>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</si>
  <si>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</si>
  <si>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</si>
  <si>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</si>
  <si>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</si>
  <si>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</si>
  <si>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</si>
  <si>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</si>
  <si>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</si>
  <si>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</si>
  <si>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</si>
  <si>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</si>
  <si>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</si>
  <si>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</si>
  <si>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</si>
  <si>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</si>
  <si>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</si>
  <si>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</si>
  <si>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</si>
  <si>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</si>
  <si>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</si>
  <si>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</si>
  <si>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</si>
  <si>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</si>
  <si>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</si>
  <si>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</si>
  <si>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</si>
  <si>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</si>
  <si>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</si>
  <si>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</si>
  <si>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</si>
  <si>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</si>
  <si>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</si>
  <si>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</si>
  <si>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</si>
  <si>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</si>
  <si>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</si>
  <si>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</si>
  <si>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</si>
  <si>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</si>
  <si>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</si>
  <si>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</si>
  <si>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</si>
  <si>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</si>
  <si>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</si>
  <si>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</si>
  <si>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</si>
  <si>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</si>
  <si>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</si>
  <si>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</si>
  <si>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</si>
  <si>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</si>
  <si>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</si>
  <si>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</si>
  <si>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</si>
  <si>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</si>
  <si>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</si>
  <si>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</si>
  <si>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</si>
  <si>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</si>
  <si>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</si>
  <si>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</si>
  <si>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</si>
  <si>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</si>
  <si>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</si>
  <si>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</si>
  <si>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</si>
  <si>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</si>
  <si>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</si>
  <si>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</si>
  <si>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</si>
  <si>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</si>
  <si>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</si>
  <si>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</si>
  <si>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</si>
  <si>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</si>
  <si>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</si>
  <si>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</si>
  <si>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</si>
  <si>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</si>
  <si>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</si>
  <si>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</si>
  <si>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</si>
  <si>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</si>
  <si>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</si>
  <si>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</si>
  <si>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</si>
  <si>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</si>
  <si>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</si>
  <si>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</si>
  <si>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</si>
  <si>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</si>
  <si>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</si>
  <si>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</si>
  <si>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</si>
  <si>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</si>
  <si>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70822</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</si>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</sst>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155</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23</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79995</v>
      </c>
      <c r="Q5" s="112">
        <f>'Pt 2 Premium and Claims'!Q5+'Pt 2 Premium and Claims'!Q6-'Pt 2 Premium and Claims'!Q7-'Pt 2 Premium and Claims'!Q13+'Pt 2 Premium and Claims'!Q14</f>
        <v>45344</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4932</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1376069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623</v>
      </c>
      <c r="Q7" s="116">
        <f>P7</f>
        <v>623</v>
      </c>
      <c r="R7" s="116"/>
      <c r="S7" s="116"/>
      <c r="T7" s="116"/>
      <c r="U7" s="115">
        <v>0</v>
      </c>
      <c r="V7" s="116">
        <f>U7</f>
        <v>0</v>
      </c>
      <c r="W7" s="116"/>
      <c r="X7" s="115">
        <v>0</v>
      </c>
      <c r="Y7" s="116">
        <f>X7</f>
        <v>0</v>
      </c>
      <c r="Z7" s="116"/>
      <c r="AA7" s="115">
        <v>38</v>
      </c>
      <c r="AB7" s="116">
        <f>AA7</f>
        <v>38</v>
      </c>
      <c r="AC7" s="116"/>
      <c r="AD7" s="115"/>
      <c r="AE7" s="297"/>
      <c r="AF7" s="297"/>
      <c r="AG7" s="297"/>
      <c r="AH7" s="297"/>
      <c r="AI7" s="115"/>
      <c r="AJ7" s="297"/>
      <c r="AK7" s="297"/>
      <c r="AL7" s="297"/>
      <c r="AM7" s="297"/>
      <c r="AN7" s="115"/>
      <c r="AO7" s="116"/>
      <c r="AP7" s="116"/>
      <c r="AQ7" s="116"/>
      <c r="AR7" s="116"/>
      <c r="AS7" s="115">
        <v>0</v>
      </c>
      <c r="AT7" s="119">
        <v>10724</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21871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-1134</v>
      </c>
      <c r="E12" s="112">
        <f>'Pt 2 Premium and Claims'!E54</f>
        <v>-832</v>
      </c>
      <c r="F12" s="112"/>
      <c r="G12" s="112"/>
      <c r="H12" s="112"/>
      <c r="I12" s="111">
        <f>'Pt 2 Premium and Claims'!I54</f>
        <v>0</v>
      </c>
      <c r="J12" s="111">
        <f>'Pt 2 Premium and Claims'!J54</f>
        <v>-12992</v>
      </c>
      <c r="K12" s="112">
        <f>'Pt 2 Premium and Claims'!K54</f>
        <v>-79</v>
      </c>
      <c r="L12" s="112"/>
      <c r="M12" s="112"/>
      <c r="N12" s="112"/>
      <c r="O12" s="111">
        <f>'Pt 2 Premium and Claims'!O54</f>
        <v>0</v>
      </c>
      <c r="P12" s="111">
        <f>'Pt 2 Premium and Claims'!P54</f>
        <v>-65788</v>
      </c>
      <c r="Q12" s="112">
        <f>'Pt 2 Premium and Claims'!Q54</f>
        <v>-18639</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-134379</v>
      </c>
      <c r="AB12" s="112">
        <f>'Pt 2 Premium and Claims'!AB54</f>
        <v>180</v>
      </c>
      <c r="AC12" s="112"/>
      <c r="AD12" s="111"/>
      <c r="AE12" s="301"/>
      <c r="AF12" s="301"/>
      <c r="AG12" s="301"/>
      <c r="AH12" s="302"/>
      <c r="AI12" s="111"/>
      <c r="AJ12" s="301"/>
      <c r="AK12" s="301"/>
      <c r="AL12" s="301"/>
      <c r="AM12" s="302"/>
      <c r="AN12" s="111"/>
      <c r="AO12" s="112"/>
      <c r="AP12" s="112"/>
      <c r="AQ12" s="112"/>
      <c r="AR12" s="112"/>
      <c r="AS12" s="111">
        <f>'Pt 2 Premium and Claims'!AS54</f>
        <v>-143134</v>
      </c>
      <c r="AT12" s="113">
        <f>'Pt 2 Premium and Claims'!AT54</f>
        <v>803351</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1047</v>
      </c>
      <c r="Q13" s="116">
        <v>0</v>
      </c>
      <c r="R13" s="116"/>
      <c r="S13" s="295"/>
      <c r="T13" s="296"/>
      <c r="U13" s="115">
        <v>0</v>
      </c>
      <c r="V13" s="116">
        <v>0</v>
      </c>
      <c r="W13" s="116"/>
      <c r="X13" s="115">
        <v>0</v>
      </c>
      <c r="Y13" s="116">
        <v>0</v>
      </c>
      <c r="Z13" s="116"/>
      <c r="AA13" s="115">
        <v>-5123</v>
      </c>
      <c r="AB13" s="116">
        <v>0</v>
      </c>
      <c r="AC13" s="116"/>
      <c r="AD13" s="115"/>
      <c r="AE13" s="297"/>
      <c r="AF13" s="297"/>
      <c r="AG13" s="297"/>
      <c r="AH13" s="297"/>
      <c r="AI13" s="115"/>
      <c r="AJ13" s="297"/>
      <c r="AK13" s="297"/>
      <c r="AL13" s="297"/>
      <c r="AM13" s="297"/>
      <c r="AN13" s="115"/>
      <c r="AO13" s="116"/>
      <c r="AP13" s="116"/>
      <c r="AQ13" s="295"/>
      <c r="AR13" s="296"/>
      <c r="AS13" s="115">
        <v>506540</v>
      </c>
      <c r="AT13" s="119">
        <v>0</v>
      </c>
      <c r="AU13" s="119">
        <v>0</v>
      </c>
      <c r="AV13" s="317"/>
      <c r="AW13" s="324"/>
    </row>
    <row r="14" spans="1:49" ht="25.5" x14ac:dyDescent="0.2">
      <c r="B14" s="161" t="s">
        <v>231</v>
      </c>
      <c r="C14" s="68" t="s">
        <v>6</v>
      </c>
      <c r="D14" s="115">
        <v>0</v>
      </c>
      <c r="E14" s="116">
        <v>12</v>
      </c>
      <c r="F14" s="116"/>
      <c r="G14" s="294"/>
      <c r="H14" s="297"/>
      <c r="I14" s="115">
        <v>0</v>
      </c>
      <c r="J14" s="115">
        <v>0</v>
      </c>
      <c r="K14" s="116">
        <v>-9</v>
      </c>
      <c r="L14" s="116"/>
      <c r="M14" s="294"/>
      <c r="N14" s="297"/>
      <c r="O14" s="115">
        <v>0</v>
      </c>
      <c r="P14" s="115">
        <v>0</v>
      </c>
      <c r="Q14" s="116">
        <v>677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23</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98</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-1895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-213</v>
      </c>
      <c r="E25" s="116">
        <f>D25</f>
        <v>-213</v>
      </c>
      <c r="F25" s="116"/>
      <c r="G25" s="116"/>
      <c r="H25" s="116"/>
      <c r="I25" s="115">
        <v>0</v>
      </c>
      <c r="J25" s="115">
        <v>-2327</v>
      </c>
      <c r="K25" s="116">
        <f>J25</f>
        <v>-2327</v>
      </c>
      <c r="L25" s="116"/>
      <c r="M25" s="116"/>
      <c r="N25" s="116"/>
      <c r="O25" s="115">
        <v>0</v>
      </c>
      <c r="P25" s="115">
        <v>-26435</v>
      </c>
      <c r="Q25" s="116">
        <f>P25</f>
        <v>-26435</v>
      </c>
      <c r="R25" s="116"/>
      <c r="S25" s="116"/>
      <c r="T25" s="116"/>
      <c r="U25" s="115">
        <v>0</v>
      </c>
      <c r="V25" s="116">
        <f>U25</f>
        <v>0</v>
      </c>
      <c r="W25" s="116"/>
      <c r="X25" s="115">
        <v>0</v>
      </c>
      <c r="Y25" s="116">
        <f>X25</f>
        <v>0</v>
      </c>
      <c r="Z25" s="116"/>
      <c r="AA25" s="115">
        <v>-34327</v>
      </c>
      <c r="AB25" s="116">
        <f>AA25</f>
        <v>-34327</v>
      </c>
      <c r="AC25" s="116"/>
      <c r="AD25" s="115"/>
      <c r="AE25" s="297"/>
      <c r="AF25" s="297"/>
      <c r="AG25" s="297"/>
      <c r="AH25" s="300"/>
      <c r="AI25" s="115"/>
      <c r="AJ25" s="297"/>
      <c r="AK25" s="297"/>
      <c r="AL25" s="297"/>
      <c r="AM25" s="300"/>
      <c r="AN25" s="115"/>
      <c r="AO25" s="116"/>
      <c r="AP25" s="116"/>
      <c r="AQ25" s="116"/>
      <c r="AR25" s="116"/>
      <c r="AS25" s="115">
        <v>-26370</v>
      </c>
      <c r="AT25" s="119">
        <v>-59081</v>
      </c>
      <c r="AU25" s="119">
        <v>0</v>
      </c>
      <c r="AV25" s="119">
        <v>102860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-10</v>
      </c>
      <c r="Q26" s="116">
        <f>P26</f>
        <v>-10</v>
      </c>
      <c r="R26" s="116"/>
      <c r="S26" s="116"/>
      <c r="T26" s="116"/>
      <c r="U26" s="115">
        <v>0</v>
      </c>
      <c r="V26" s="116">
        <f>U26</f>
        <v>0</v>
      </c>
      <c r="W26" s="116"/>
      <c r="X26" s="115">
        <v>0</v>
      </c>
      <c r="Y26" s="116">
        <f>X26</f>
        <v>0</v>
      </c>
      <c r="Z26" s="116"/>
      <c r="AA26" s="115">
        <v>-245</v>
      </c>
      <c r="AB26" s="116">
        <f>AA26</f>
        <v>-245</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12846</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4057</v>
      </c>
      <c r="AU28" s="119">
        <v>0</v>
      </c>
      <c r="AV28" s="119">
        <v>12264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249</v>
      </c>
      <c r="Q30" s="116">
        <f>P30</f>
        <v>249</v>
      </c>
      <c r="R30" s="116"/>
      <c r="S30" s="116"/>
      <c r="T30" s="116"/>
      <c r="U30" s="115">
        <v>0</v>
      </c>
      <c r="V30" s="116">
        <f>U30</f>
        <v>0</v>
      </c>
      <c r="W30" s="116"/>
      <c r="X30" s="115">
        <v>0</v>
      </c>
      <c r="Y30" s="116">
        <f>X30</f>
        <v>0</v>
      </c>
      <c r="Z30" s="116"/>
      <c r="AA30" s="115">
        <v>15</v>
      </c>
      <c r="AB30" s="116">
        <f>AA30</f>
        <v>15</v>
      </c>
      <c r="AC30" s="116"/>
      <c r="AD30" s="115"/>
      <c r="AE30" s="297"/>
      <c r="AF30" s="297"/>
      <c r="AG30" s="297"/>
      <c r="AH30" s="297"/>
      <c r="AI30" s="115"/>
      <c r="AJ30" s="297"/>
      <c r="AK30" s="297"/>
      <c r="AL30" s="297"/>
      <c r="AM30" s="297"/>
      <c r="AN30" s="115"/>
      <c r="AO30" s="116"/>
      <c r="AP30" s="116"/>
      <c r="AQ30" s="116"/>
      <c r="AR30" s="116"/>
      <c r="AS30" s="115">
        <v>0</v>
      </c>
      <c r="AT30" s="119">
        <v>4306</v>
      </c>
      <c r="AU30" s="119">
        <v>0</v>
      </c>
      <c r="AV30" s="119">
        <v>423</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1521</v>
      </c>
      <c r="Q31" s="116">
        <f>P31</f>
        <v>1521</v>
      </c>
      <c r="R31" s="116"/>
      <c r="S31" s="116"/>
      <c r="T31" s="116"/>
      <c r="U31" s="115">
        <v>0</v>
      </c>
      <c r="V31" s="116">
        <f>U31</f>
        <v>0</v>
      </c>
      <c r="W31" s="116"/>
      <c r="X31" s="115">
        <v>0</v>
      </c>
      <c r="Y31" s="116">
        <f>X31</f>
        <v>0</v>
      </c>
      <c r="Z31" s="116"/>
      <c r="AA31" s="115">
        <v>94</v>
      </c>
      <c r="AB31" s="116">
        <f>AA31</f>
        <v>94</v>
      </c>
      <c r="AC31" s="116"/>
      <c r="AD31" s="115"/>
      <c r="AE31" s="297"/>
      <c r="AF31" s="297"/>
      <c r="AG31" s="297"/>
      <c r="AH31" s="297"/>
      <c r="AI31" s="115"/>
      <c r="AJ31" s="297"/>
      <c r="AK31" s="297"/>
      <c r="AL31" s="297"/>
      <c r="AM31" s="297"/>
      <c r="AN31" s="115"/>
      <c r="AO31" s="116"/>
      <c r="AP31" s="116"/>
      <c r="AQ31" s="116"/>
      <c r="AR31" s="116"/>
      <c r="AS31" s="115">
        <v>0</v>
      </c>
      <c r="AT31" s="119">
        <v>26157</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-985</v>
      </c>
      <c r="AU35" s="119">
        <v>0</v>
      </c>
      <c r="AV35" s="119">
        <v>-4499</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2</v>
      </c>
      <c r="K37" s="124">
        <v>0</v>
      </c>
      <c r="L37" s="124"/>
      <c r="M37" s="124"/>
      <c r="N37" s="124"/>
      <c r="O37" s="123">
        <v>0</v>
      </c>
      <c r="P37" s="123">
        <v>1</v>
      </c>
      <c r="Q37" s="124">
        <v>2</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v>
      </c>
      <c r="AU37" s="125">
        <v>0</v>
      </c>
      <c r="AV37" s="125">
        <v>2852</v>
      </c>
      <c r="AW37" s="323"/>
    </row>
    <row r="38" spans="1:49" x14ac:dyDescent="0.2">
      <c r="B38" s="161" t="s">
        <v>255</v>
      </c>
      <c r="C38" s="68" t="s">
        <v>16</v>
      </c>
      <c r="D38" s="115">
        <v>0</v>
      </c>
      <c r="E38" s="116">
        <v>0</v>
      </c>
      <c r="F38" s="116"/>
      <c r="G38" s="116"/>
      <c r="H38" s="116"/>
      <c r="I38" s="115">
        <v>0</v>
      </c>
      <c r="J38" s="115">
        <v>2</v>
      </c>
      <c r="K38" s="116">
        <v>0</v>
      </c>
      <c r="L38" s="116"/>
      <c r="M38" s="116"/>
      <c r="N38" s="116"/>
      <c r="O38" s="115">
        <v>0</v>
      </c>
      <c r="P38" s="115">
        <v>1</v>
      </c>
      <c r="Q38" s="116">
        <v>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1291</v>
      </c>
      <c r="AW38" s="324"/>
    </row>
    <row r="39" spans="1:49" x14ac:dyDescent="0.2">
      <c r="B39" s="164" t="s">
        <v>256</v>
      </c>
      <c r="C39" s="68" t="s">
        <v>17</v>
      </c>
      <c r="D39" s="115">
        <v>0</v>
      </c>
      <c r="E39" s="116">
        <v>0</v>
      </c>
      <c r="F39" s="116"/>
      <c r="G39" s="116"/>
      <c r="H39" s="116"/>
      <c r="I39" s="115">
        <v>0</v>
      </c>
      <c r="J39" s="115">
        <v>-2</v>
      </c>
      <c r="K39" s="116">
        <v>0</v>
      </c>
      <c r="L39" s="116"/>
      <c r="M39" s="116"/>
      <c r="N39" s="116"/>
      <c r="O39" s="115">
        <v>0</v>
      </c>
      <c r="P39" s="115">
        <v>-23</v>
      </c>
      <c r="Q39" s="116">
        <v>2</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274</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415</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2</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22</v>
      </c>
      <c r="AU41" s="119">
        <v>0</v>
      </c>
      <c r="AV41" s="119">
        <v>6568</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1201</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357</v>
      </c>
      <c r="K44" s="124">
        <v>0</v>
      </c>
      <c r="L44" s="124"/>
      <c r="M44" s="124"/>
      <c r="N44" s="124"/>
      <c r="O44" s="123">
        <v>0</v>
      </c>
      <c r="P44" s="123">
        <v>-51</v>
      </c>
      <c r="Q44" s="124">
        <v>-3</v>
      </c>
      <c r="R44" s="124"/>
      <c r="S44" s="124"/>
      <c r="T44" s="124"/>
      <c r="U44" s="123">
        <v>0</v>
      </c>
      <c r="V44" s="124">
        <v>0</v>
      </c>
      <c r="W44" s="124"/>
      <c r="X44" s="123">
        <v>0</v>
      </c>
      <c r="Y44" s="124">
        <v>0</v>
      </c>
      <c r="Z44" s="124"/>
      <c r="AA44" s="123">
        <v>-3021</v>
      </c>
      <c r="AB44" s="124">
        <v>0</v>
      </c>
      <c r="AC44" s="124"/>
      <c r="AD44" s="123"/>
      <c r="AE44" s="301"/>
      <c r="AF44" s="301"/>
      <c r="AG44" s="301"/>
      <c r="AH44" s="302"/>
      <c r="AI44" s="123"/>
      <c r="AJ44" s="301"/>
      <c r="AK44" s="301"/>
      <c r="AL44" s="301"/>
      <c r="AM44" s="302"/>
      <c r="AN44" s="123"/>
      <c r="AO44" s="124"/>
      <c r="AP44" s="124"/>
      <c r="AQ44" s="124"/>
      <c r="AR44" s="124"/>
      <c r="AS44" s="123">
        <v>0</v>
      </c>
      <c r="AT44" s="125">
        <v>-13</v>
      </c>
      <c r="AU44" s="125">
        <v>0</v>
      </c>
      <c r="AV44" s="125">
        <v>33078</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-615</v>
      </c>
      <c r="AU45" s="119">
        <v>0</v>
      </c>
      <c r="AV45" s="119">
        <v>-1093</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824</v>
      </c>
      <c r="AU46" s="119">
        <v>0</v>
      </c>
      <c r="AV46" s="119">
        <v>20170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1229</v>
      </c>
      <c r="Q47" s="116">
        <f>P47</f>
        <v>1229</v>
      </c>
      <c r="R47" s="116"/>
      <c r="S47" s="116"/>
      <c r="T47" s="116"/>
      <c r="U47" s="115">
        <v>0</v>
      </c>
      <c r="V47" s="116">
        <f>U47</f>
        <v>0</v>
      </c>
      <c r="W47" s="116"/>
      <c r="X47" s="115">
        <v>0</v>
      </c>
      <c r="Y47" s="116">
        <f>X47</f>
        <v>0</v>
      </c>
      <c r="Z47" s="116"/>
      <c r="AA47" s="115">
        <v>-43816</v>
      </c>
      <c r="AB47" s="116">
        <f>AA47</f>
        <v>-43816</v>
      </c>
      <c r="AC47" s="116"/>
      <c r="AD47" s="115"/>
      <c r="AE47" s="297"/>
      <c r="AF47" s="297"/>
      <c r="AG47" s="297"/>
      <c r="AH47" s="297"/>
      <c r="AI47" s="115"/>
      <c r="AJ47" s="297"/>
      <c r="AK47" s="297"/>
      <c r="AL47" s="297"/>
      <c r="AM47" s="297"/>
      <c r="AN47" s="115"/>
      <c r="AO47" s="116"/>
      <c r="AP47" s="116"/>
      <c r="AQ47" s="116"/>
      <c r="AR47" s="116"/>
      <c r="AS47" s="115">
        <v>0</v>
      </c>
      <c r="AT47" s="119">
        <v>21140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-3035</v>
      </c>
      <c r="AU49" s="119">
        <v>0</v>
      </c>
      <c r="AV49" s="119">
        <v>-12049</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4267</v>
      </c>
      <c r="AU50" s="119">
        <v>0</v>
      </c>
      <c r="AV50" s="119">
        <v>11139</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230398</v>
      </c>
      <c r="AU51" s="119">
        <v>0</v>
      </c>
      <c r="AV51" s="119">
        <v>567886</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598</v>
      </c>
      <c r="AU53" s="119">
        <v>0</v>
      </c>
      <c r="AV53" s="119">
        <v>1408</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81614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1702</v>
      </c>
      <c r="AU56" s="129">
        <v>0</v>
      </c>
      <c r="AV56" s="129">
        <v>640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4072</v>
      </c>
      <c r="AU57" s="132">
        <v>0</v>
      </c>
      <c r="AV57" s="132">
        <v>1496</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v>
      </c>
      <c r="AU58" s="132">
        <v>0</v>
      </c>
      <c r="AV58" s="132">
        <v>1</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50477</v>
      </c>
      <c r="AU59" s="132">
        <v>0</v>
      </c>
      <c r="AV59" s="132">
        <v>17471</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4206.416666666667</v>
      </c>
      <c r="AU60" s="135">
        <f>AU59/12</f>
        <v>0</v>
      </c>
      <c r="AV60" s="135">
        <f>AV59/12</f>
        <v>1455.9166666666667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195096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31912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v>
      </c>
      <c r="E5" s="124">
        <v>0</v>
      </c>
      <c r="F5" s="124"/>
      <c r="G5" s="136"/>
      <c r="H5" s="136"/>
      <c r="I5" s="123">
        <v>0</v>
      </c>
      <c r="J5" s="123">
        <v>0</v>
      </c>
      <c r="K5" s="124">
        <v>0</v>
      </c>
      <c r="L5" s="124"/>
      <c r="M5" s="124"/>
      <c r="N5" s="124"/>
      <c r="O5" s="123">
        <v>0</v>
      </c>
      <c r="P5" s="123">
        <v>-16001</v>
      </c>
      <c r="Q5" s="124">
        <v>-16385</v>
      </c>
      <c r="R5" s="124"/>
      <c r="S5" s="124"/>
      <c r="T5" s="124"/>
      <c r="U5" s="123">
        <v>0</v>
      </c>
      <c r="V5" s="124">
        <v>0</v>
      </c>
      <c r="W5" s="124"/>
      <c r="X5" s="123">
        <v>0</v>
      </c>
      <c r="Y5" s="124">
        <v>0</v>
      </c>
      <c r="Z5" s="124"/>
      <c r="AA5" s="123">
        <v>4932</v>
      </c>
      <c r="AB5" s="124">
        <v>0</v>
      </c>
      <c r="AC5" s="124"/>
      <c r="AD5" s="123"/>
      <c r="AE5" s="301"/>
      <c r="AF5" s="301"/>
      <c r="AG5" s="301"/>
      <c r="AH5" s="301"/>
      <c r="AI5" s="123"/>
      <c r="AJ5" s="301"/>
      <c r="AK5" s="301"/>
      <c r="AL5" s="301"/>
      <c r="AM5" s="301"/>
      <c r="AN5" s="123"/>
      <c r="AO5" s="124"/>
      <c r="AP5" s="124"/>
      <c r="AQ5" s="124"/>
      <c r="AR5" s="124"/>
      <c r="AS5" s="123">
        <v>0</v>
      </c>
      <c r="AT5" s="125">
        <v>1334811</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35948</v>
      </c>
      <c r="Q6" s="116">
        <v>35948</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171896</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256</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3460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121121</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-422</v>
      </c>
      <c r="F11" s="116"/>
      <c r="G11" s="116"/>
      <c r="H11" s="116"/>
      <c r="I11" s="115">
        <f>0</f>
        <v>0</v>
      </c>
      <c r="J11" s="115">
        <f>J41</f>
        <v>0</v>
      </c>
      <c r="K11" s="116">
        <f>K42</f>
        <v>0</v>
      </c>
      <c r="L11" s="116"/>
      <c r="M11" s="116"/>
      <c r="N11" s="116"/>
      <c r="O11" s="115">
        <f>0</f>
        <v>0</v>
      </c>
      <c r="P11" s="115">
        <f>P41</f>
        <v>1975</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55509</v>
      </c>
      <c r="AU11" s="119">
        <f>AU41</f>
        <v>0</v>
      </c>
      <c r="AV11" s="317"/>
      <c r="AW11" s="324"/>
    </row>
    <row r="12" spans="2:49" x14ac:dyDescent="0.2">
      <c r="B12" s="182" t="s">
        <v>283</v>
      </c>
      <c r="C12" s="139" t="s">
        <v>44</v>
      </c>
      <c r="D12" s="115">
        <f>D43</f>
        <v>422</v>
      </c>
      <c r="E12" s="295"/>
      <c r="F12" s="295"/>
      <c r="G12" s="295"/>
      <c r="H12" s="295"/>
      <c r="I12" s="299"/>
      <c r="J12" s="115">
        <f>J43</f>
        <v>0</v>
      </c>
      <c r="K12" s="295"/>
      <c r="L12" s="295"/>
      <c r="M12" s="295"/>
      <c r="N12" s="295"/>
      <c r="O12" s="299"/>
      <c r="P12" s="115">
        <f>P43</f>
        <v>1975</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237580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-60304</v>
      </c>
      <c r="Q13" s="116">
        <v>-25781</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127178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v>
      </c>
      <c r="E23" s="294"/>
      <c r="F23" s="294"/>
      <c r="G23" s="294"/>
      <c r="H23" s="294"/>
      <c r="I23" s="298"/>
      <c r="J23" s="115">
        <v>-333</v>
      </c>
      <c r="K23" s="294"/>
      <c r="L23" s="294"/>
      <c r="M23" s="294"/>
      <c r="N23" s="294"/>
      <c r="O23" s="298"/>
      <c r="P23" s="115">
        <v>-78759</v>
      </c>
      <c r="Q23" s="294"/>
      <c r="R23" s="294"/>
      <c r="S23" s="294"/>
      <c r="T23" s="294"/>
      <c r="U23" s="115">
        <v>0</v>
      </c>
      <c r="V23" s="294"/>
      <c r="W23" s="294"/>
      <c r="X23" s="115">
        <v>0</v>
      </c>
      <c r="Y23" s="294"/>
      <c r="Z23" s="294"/>
      <c r="AA23" s="115">
        <v>164798</v>
      </c>
      <c r="AB23" s="294"/>
      <c r="AC23" s="294"/>
      <c r="AD23" s="115"/>
      <c r="AE23" s="294"/>
      <c r="AF23" s="294"/>
      <c r="AG23" s="294"/>
      <c r="AH23" s="294"/>
      <c r="AI23" s="115"/>
      <c r="AJ23" s="294"/>
      <c r="AK23" s="294"/>
      <c r="AL23" s="294"/>
      <c r="AM23" s="294"/>
      <c r="AN23" s="115"/>
      <c r="AO23" s="294"/>
      <c r="AP23" s="294"/>
      <c r="AQ23" s="294"/>
      <c r="AR23" s="294"/>
      <c r="AS23" s="115">
        <v>-4469471</v>
      </c>
      <c r="AT23" s="119">
        <v>1354641</v>
      </c>
      <c r="AU23" s="119">
        <v>0</v>
      </c>
      <c r="AV23" s="317"/>
      <c r="AW23" s="324"/>
    </row>
    <row r="24" spans="2:49" ht="28.5" customHeight="1" x14ac:dyDescent="0.2">
      <c r="B24" s="184" t="s">
        <v>114</v>
      </c>
      <c r="C24" s="139"/>
      <c r="D24" s="299"/>
      <c r="E24" s="116">
        <v>-12</v>
      </c>
      <c r="F24" s="116"/>
      <c r="G24" s="116"/>
      <c r="H24" s="116"/>
      <c r="I24" s="115">
        <v>0</v>
      </c>
      <c r="J24" s="299"/>
      <c r="K24" s="116">
        <v>7</v>
      </c>
      <c r="L24" s="116"/>
      <c r="M24" s="116"/>
      <c r="N24" s="116"/>
      <c r="O24" s="115">
        <v>0</v>
      </c>
      <c r="P24" s="299"/>
      <c r="Q24" s="116">
        <v>-20589</v>
      </c>
      <c r="R24" s="116"/>
      <c r="S24" s="116"/>
      <c r="T24" s="116"/>
      <c r="U24" s="299"/>
      <c r="V24" s="116">
        <v>0</v>
      </c>
      <c r="W24" s="116"/>
      <c r="X24" s="299"/>
      <c r="Y24" s="116">
        <v>0</v>
      </c>
      <c r="Z24" s="116"/>
      <c r="AA24" s="299"/>
      <c r="AB24" s="116">
        <v>180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v>
      </c>
      <c r="E26" s="294"/>
      <c r="F26" s="294"/>
      <c r="G26" s="294"/>
      <c r="H26" s="294"/>
      <c r="I26" s="298"/>
      <c r="J26" s="115">
        <v>0</v>
      </c>
      <c r="K26" s="294"/>
      <c r="L26" s="294"/>
      <c r="M26" s="294"/>
      <c r="N26" s="294"/>
      <c r="O26" s="298"/>
      <c r="P26" s="115">
        <v>14550</v>
      </c>
      <c r="Q26" s="294"/>
      <c r="R26" s="294"/>
      <c r="S26" s="294"/>
      <c r="T26" s="294"/>
      <c r="U26" s="115">
        <v>0</v>
      </c>
      <c r="V26" s="294"/>
      <c r="W26" s="294"/>
      <c r="X26" s="115">
        <v>0</v>
      </c>
      <c r="Y26" s="294"/>
      <c r="Z26" s="294"/>
      <c r="AA26" s="115">
        <v>-2489</v>
      </c>
      <c r="AB26" s="294"/>
      <c r="AC26" s="294"/>
      <c r="AD26" s="115"/>
      <c r="AE26" s="294"/>
      <c r="AF26" s="294"/>
      <c r="AG26" s="294"/>
      <c r="AH26" s="294"/>
      <c r="AI26" s="115"/>
      <c r="AJ26" s="294"/>
      <c r="AK26" s="294"/>
      <c r="AL26" s="294"/>
      <c r="AM26" s="294"/>
      <c r="AN26" s="115"/>
      <c r="AO26" s="294"/>
      <c r="AP26" s="294"/>
      <c r="AQ26" s="294"/>
      <c r="AR26" s="294"/>
      <c r="AS26" s="115">
        <v>0</v>
      </c>
      <c r="AT26" s="119">
        <v>91919</v>
      </c>
      <c r="AU26" s="119">
        <v>0</v>
      </c>
      <c r="AV26" s="317"/>
      <c r="AW26" s="324"/>
    </row>
    <row r="27" spans="2:49" s="11" customFormat="1" ht="25.5" x14ac:dyDescent="0.2">
      <c r="B27" s="184" t="s">
        <v>85</v>
      </c>
      <c r="C27" s="139"/>
      <c r="D27" s="299"/>
      <c r="E27" s="116">
        <v>-3</v>
      </c>
      <c r="F27" s="116"/>
      <c r="G27" s="116"/>
      <c r="H27" s="116"/>
      <c r="I27" s="115">
        <v>0</v>
      </c>
      <c r="J27" s="299"/>
      <c r="K27" s="116">
        <v>0</v>
      </c>
      <c r="L27" s="116"/>
      <c r="M27" s="116"/>
      <c r="N27" s="116"/>
      <c r="O27" s="115">
        <v>0</v>
      </c>
      <c r="P27" s="299"/>
      <c r="Q27" s="116">
        <v>1534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262</v>
      </c>
      <c r="E28" s="295"/>
      <c r="F28" s="295"/>
      <c r="G28" s="295"/>
      <c r="H28" s="295"/>
      <c r="I28" s="299"/>
      <c r="J28" s="115">
        <v>12194</v>
      </c>
      <c r="K28" s="295"/>
      <c r="L28" s="295"/>
      <c r="M28" s="295"/>
      <c r="N28" s="295"/>
      <c r="O28" s="299"/>
      <c r="P28" s="115">
        <v>1772</v>
      </c>
      <c r="Q28" s="295"/>
      <c r="R28" s="295"/>
      <c r="S28" s="295"/>
      <c r="T28" s="295"/>
      <c r="U28" s="115">
        <v>0</v>
      </c>
      <c r="V28" s="295"/>
      <c r="W28" s="295"/>
      <c r="X28" s="115">
        <v>0</v>
      </c>
      <c r="Y28" s="295"/>
      <c r="Z28" s="295"/>
      <c r="AA28" s="115">
        <v>296688</v>
      </c>
      <c r="AB28" s="295"/>
      <c r="AC28" s="295"/>
      <c r="AD28" s="115"/>
      <c r="AE28" s="294"/>
      <c r="AF28" s="294"/>
      <c r="AG28" s="294"/>
      <c r="AH28" s="294"/>
      <c r="AI28" s="115"/>
      <c r="AJ28" s="294"/>
      <c r="AK28" s="294"/>
      <c r="AL28" s="294"/>
      <c r="AM28" s="294"/>
      <c r="AN28" s="115"/>
      <c r="AO28" s="295"/>
      <c r="AP28" s="295"/>
      <c r="AQ28" s="295"/>
      <c r="AR28" s="295"/>
      <c r="AS28" s="115">
        <v>649674</v>
      </c>
      <c r="AT28" s="119">
        <v>566386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6</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2429421</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59</v>
      </c>
      <c r="E32" s="295"/>
      <c r="F32" s="295"/>
      <c r="G32" s="295"/>
      <c r="H32" s="295"/>
      <c r="I32" s="299"/>
      <c r="J32" s="115">
        <v>370</v>
      </c>
      <c r="K32" s="295"/>
      <c r="L32" s="295"/>
      <c r="M32" s="295"/>
      <c r="N32" s="295"/>
      <c r="O32" s="299"/>
      <c r="P32" s="115">
        <v>322</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2445294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v>
      </c>
      <c r="E34" s="294"/>
      <c r="F34" s="294"/>
      <c r="G34" s="294"/>
      <c r="H34" s="294"/>
      <c r="I34" s="298"/>
      <c r="J34" s="115">
        <v>0</v>
      </c>
      <c r="K34" s="294"/>
      <c r="L34" s="294"/>
      <c r="M34" s="294"/>
      <c r="N34" s="294"/>
      <c r="O34" s="298"/>
      <c r="P34" s="115">
        <v>16</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v>
      </c>
      <c r="F35" s="116"/>
      <c r="G35" s="116"/>
      <c r="H35" s="116"/>
      <c r="I35" s="115">
        <v>0</v>
      </c>
      <c r="J35" s="299"/>
      <c r="K35" s="116">
        <f>J34</f>
        <v>0</v>
      </c>
      <c r="L35" s="116"/>
      <c r="M35" s="116"/>
      <c r="N35" s="116"/>
      <c r="O35" s="115">
        <v>0</v>
      </c>
      <c r="P35" s="299"/>
      <c r="Q35" s="116">
        <f>P34</f>
        <v>16</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398</v>
      </c>
      <c r="E36" s="116">
        <f>D36</f>
        <v>398</v>
      </c>
      <c r="F36" s="116"/>
      <c r="G36" s="116"/>
      <c r="H36" s="116"/>
      <c r="I36" s="115">
        <v>0</v>
      </c>
      <c r="J36" s="115">
        <v>86</v>
      </c>
      <c r="K36" s="116">
        <f>J36</f>
        <v>86</v>
      </c>
      <c r="L36" s="116"/>
      <c r="M36" s="116"/>
      <c r="N36" s="116"/>
      <c r="O36" s="115">
        <v>0</v>
      </c>
      <c r="P36" s="115">
        <v>-400</v>
      </c>
      <c r="Q36" s="116">
        <f>P36</f>
        <v>-400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121121</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1975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55509</v>
      </c>
      <c r="AU41" s="119">
        <v>0</v>
      </c>
      <c r="AV41" s="317"/>
      <c r="AW41" s="324"/>
    </row>
    <row r="42" spans="2:49" s="11" customFormat="1" ht="25.5" x14ac:dyDescent="0.2">
      <c r="B42" s="184" t="s">
        <v>92</v>
      </c>
      <c r="C42" s="139"/>
      <c r="D42" s="299"/>
      <c r="E42" s="116">
        <v>-422</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422</v>
      </c>
      <c r="E43" s="295"/>
      <c r="F43" s="295"/>
      <c r="G43" s="295"/>
      <c r="H43" s="295"/>
      <c r="I43" s="299"/>
      <c r="J43" s="115">
        <v>0</v>
      </c>
      <c r="K43" s="295"/>
      <c r="L43" s="295"/>
      <c r="M43" s="295"/>
      <c r="N43" s="295"/>
      <c r="O43" s="299"/>
      <c r="P43" s="115">
        <v>1975</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237580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3</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8</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12</v>
      </c>
      <c r="E50" s="295"/>
      <c r="F50" s="295"/>
      <c r="G50" s="295"/>
      <c r="H50" s="295"/>
      <c r="I50" s="299"/>
      <c r="J50" s="115">
        <v>-9</v>
      </c>
      <c r="K50" s="295"/>
      <c r="L50" s="295"/>
      <c r="M50" s="295"/>
      <c r="N50" s="295"/>
      <c r="O50" s="299"/>
      <c r="P50" s="115">
        <v>98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4976011</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-1134</v>
      </c>
      <c r="E54" s="121">
        <f>E24+E27+E31+E35-E36+E39+E42+E45+E46-E49+E51+E52+E53</f>
        <v>-832</v>
      </c>
      <c r="F54" s="121"/>
      <c r="G54" s="121"/>
      <c r="H54" s="121"/>
      <c r="I54" s="120">
        <f>I24+I27+I31+I35-I36+I39+I42+I45+I46-I49+I51+I52+I53</f>
        <v>0</v>
      </c>
      <c r="J54" s="120">
        <f>J23+J26-J28+J30-J32+J34-J36+J38+J41-J43+J45+J46-J47-J49+J50+J51+J52+J53</f>
        <v>-12992</v>
      </c>
      <c r="K54" s="121">
        <f>K24+K27+K31+K35-K36+K39+K42+K45+K46-K49+K51+K52+K53</f>
        <v>-79</v>
      </c>
      <c r="L54" s="121"/>
      <c r="M54" s="121"/>
      <c r="N54" s="121"/>
      <c r="O54" s="120">
        <f>O24+O27+O31+O35-O36+O39+O42+O45+O46-O49+O51+O52+O53</f>
        <v>0</v>
      </c>
      <c r="P54" s="120">
        <f>P23+P26-P28+P30-P32+P34-P36+P38+P41-P43+P45+P46-P47-P49+P50+P51+P52+P53</f>
        <v>-65788</v>
      </c>
      <c r="Q54" s="121">
        <f>Q24+Q27+Q31+Q35-Q36+Q39+Q42+Q45+Q46-Q49+Q51+Q52+Q53</f>
        <v>-18639</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-134379</v>
      </c>
      <c r="AB54" s="121">
        <f>AB24+AB27+AB31+AB35-AB36+AB39+AB42+AB45+AB46-AB49+AB51+AB52+AB53</f>
        <v>180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-143134</v>
      </c>
      <c r="AT54" s="122">
        <f>AT23+AT26-AT28+AT30-AT32+AT34-AT36+AT38+AT41-AT43+AT45+AT46-AT47-AT49+AT50+AT51+AT52+AT53</f>
        <v>803351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21086.46</v>
      </c>
      <c r="D5" s="124">
        <v>-8487</v>
      </c>
      <c r="E5" s="352"/>
      <c r="F5" s="352"/>
      <c r="G5" s="318"/>
      <c r="H5" s="123">
        <v>311678.90000000002</v>
      </c>
      <c r="I5" s="124">
        <v>93808</v>
      </c>
      <c r="J5" s="352"/>
      <c r="K5" s="352"/>
      <c r="L5" s="318"/>
      <c r="M5" s="123">
        <v>17881446.879999999</v>
      </c>
      <c r="N5" s="124">
        <v>-445936</v>
      </c>
      <c r="O5" s="352"/>
      <c r="P5" s="352"/>
      <c r="Q5" s="123">
        <v>0</v>
      </c>
      <c r="R5" s="124">
        <v>0</v>
      </c>
      <c r="S5" s="352"/>
      <c r="T5" s="352"/>
      <c r="U5" s="123">
        <v>0</v>
      </c>
      <c r="V5" s="124">
        <v>0</v>
      </c>
      <c r="W5" s="352"/>
      <c r="X5" s="352"/>
      <c r="Y5" s="123">
        <v>2988835.06</v>
      </c>
      <c r="Z5" s="124">
        <v>2482345</v>
      </c>
      <c r="AA5" s="352"/>
      <c r="AB5" s="352"/>
      <c r="AC5" s="353"/>
      <c r="AD5" s="352"/>
      <c r="AE5" s="352"/>
      <c r="AF5" s="352"/>
      <c r="AG5" s="353"/>
      <c r="AH5" s="352"/>
      <c r="AI5" s="352"/>
      <c r="AJ5" s="352"/>
      <c r="AK5" s="353"/>
      <c r="AL5" s="124"/>
      <c r="AM5" s="352"/>
      <c r="AN5" s="354"/>
    </row>
    <row r="6" spans="1:40" s="15" customFormat="1" ht="25.5" x14ac:dyDescent="0.2">
      <c r="A6" s="148"/>
      <c r="B6" s="197" t="s">
        <v>311</v>
      </c>
      <c r="C6" s="115">
        <v>18610</v>
      </c>
      <c r="D6" s="116">
        <v>-8424</v>
      </c>
      <c r="E6" s="121">
        <f>SUM('Pt 1 Summary of Data'!E$12,'Pt 1 Summary of Data'!E$22)+SUM('Pt 1 Summary of Data'!G$12,'Pt 1 Summary of Data'!G$22)-SUM('Pt 1 Summary of Data'!H$12,'Pt 1 Summary of Data'!H$22)</f>
        <v>-832</v>
      </c>
      <c r="F6" s="121">
        <f>SUM(C6:E6)</f>
        <v>9354</v>
      </c>
      <c r="G6" s="122">
        <f>'Pt 1 Summary of Data'!I12+'Pt 1 Summary of Data'!I22</f>
        <v>0</v>
      </c>
      <c r="H6" s="115">
        <v>295481</v>
      </c>
      <c r="I6" s="116">
        <v>72753</v>
      </c>
      <c r="J6" s="121">
        <f>'Pt 1 Summary of Data'!K12+'Pt 1 Summary of Data'!K22</f>
        <v>-79</v>
      </c>
      <c r="K6" s="121">
        <f>SUM(H6:J6)</f>
        <v>368155</v>
      </c>
      <c r="L6" s="122">
        <f>'Pt 1 Summary of Data'!O12+'Pt 1 Summary of Data'!O22</f>
        <v>0</v>
      </c>
      <c r="M6" s="115">
        <v>18164801</v>
      </c>
      <c r="N6" s="116">
        <v>-445936</v>
      </c>
      <c r="O6" s="121">
        <f>'Pt 1 Summary of Data'!Q12+'Pt 1 Summary of Data'!Q22</f>
        <v>-18639</v>
      </c>
      <c r="P6" s="121">
        <f>SUM(M6:O6)</f>
        <v>17700226</v>
      </c>
      <c r="Q6" s="115">
        <v>0</v>
      </c>
      <c r="R6" s="116">
        <v>0</v>
      </c>
      <c r="S6" s="121">
        <f>'Pt 1 Summary of Data'!V12+'Pt 1 Summary of Data'!V22</f>
        <v>0</v>
      </c>
      <c r="T6" s="121">
        <f>SUM(Q6:S6)</f>
        <v>0</v>
      </c>
      <c r="U6" s="115">
        <v>0</v>
      </c>
      <c r="V6" s="116">
        <v>0</v>
      </c>
      <c r="W6" s="121">
        <f>'Pt 1 Summary of Data'!Y12+'Pt 1 Summary of Data'!Y22</f>
        <v>0</v>
      </c>
      <c r="X6" s="121">
        <f>SUM(U6:W6)</f>
        <v>0</v>
      </c>
      <c r="Y6" s="115">
        <v>2950140</v>
      </c>
      <c r="Z6" s="116">
        <v>2431039</v>
      </c>
      <c r="AA6" s="121">
        <f>'Pt 1 Summary of Data'!AB12+'Pt 1 Summary of Data'!AB22</f>
        <v>180</v>
      </c>
      <c r="AB6" s="121">
        <f>SUM(Y6:AA6)</f>
        <v>5381359</v>
      </c>
      <c r="AC6" s="298"/>
      <c r="AD6" s="294"/>
      <c r="AE6" s="294"/>
      <c r="AF6" s="294"/>
      <c r="AG6" s="298"/>
      <c r="AH6" s="294"/>
      <c r="AI6" s="294"/>
      <c r="AJ6" s="294"/>
      <c r="AK6" s="298"/>
      <c r="AL6" s="116"/>
      <c r="AM6" s="121"/>
      <c r="AN6" s="259"/>
    </row>
    <row r="7" spans="1:40" x14ac:dyDescent="0.2">
      <c r="B7" s="197" t="s">
        <v>312</v>
      </c>
      <c r="C7" s="115">
        <v>275</v>
      </c>
      <c r="D7" s="116">
        <v>0</v>
      </c>
      <c r="E7" s="121">
        <f>SUM('Pt 1 Summary of Data'!E37:E41)+MAX(0,MIN('Pt 1 Summary of Data'!E42,0.3%*('Pt 1 Summary of Data'!E5-SUM(E9:E11))))</f>
        <v>0</v>
      </c>
      <c r="F7" s="121">
        <f>SUM(C7:E7)</f>
        <v>275</v>
      </c>
      <c r="G7" s="122">
        <f>SUM('Pt 1 Summary of Data'!I37:I41)+MAX(0,MIN('Pt 1 Summary of Data'!I42,0.3%*('Pt 1 Summary of Data'!I5-SUM(G9:G10))))</f>
        <v>0</v>
      </c>
      <c r="H7" s="115">
        <v>4619</v>
      </c>
      <c r="I7" s="116">
        <v>1683</v>
      </c>
      <c r="J7" s="121">
        <f>SUM('Pt 1 Summary of Data'!K37:K41)+MAX(0,MIN('Pt 1 Summary of Data'!K42,0.3%*('Pt 1 Summary of Data'!K5-SUM(J10:J11))))</f>
        <v>0</v>
      </c>
      <c r="K7" s="121">
        <f>SUM(H7:J7)</f>
        <v>6302</v>
      </c>
      <c r="L7" s="122">
        <f>SUM('Pt 1 Summary of Data'!O37:O41)+MAX(0,MIN('Pt 1 Summary of Data'!O42,0.3%*('Pt 1 Summary of Data'!O5-L10)))</f>
        <v>0</v>
      </c>
      <c r="M7" s="115">
        <v>121242</v>
      </c>
      <c r="N7" s="116">
        <v>1495</v>
      </c>
      <c r="O7" s="121">
        <f>SUM('Pt 1 Summary of Data'!Q37:Q41)+MAX(0,MIN('Pt 1 Summary of Data'!Q42,0.3%*('Pt 1 Summary of Data'!Q5)))</f>
        <v>10</v>
      </c>
      <c r="P7" s="121">
        <f>SUM(M7:O7)</f>
        <v>122747</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18885</v>
      </c>
      <c r="D12" s="121">
        <f>SUM(D$6:D$7)+IF(AND(OR('Company Information'!$C$12="District of Columbia",'Company Information'!$C$12="Massachusetts",'Company Information'!$C$12="Vermont"),SUM($C$6:$F$11,$C$15:$F$16,$C$37:$D$37)&lt;&gt;0),SUM(I$6:I$7),0)</f>
        <v>-8424</v>
      </c>
      <c r="E12" s="121">
        <f>SUM(E$6:E$7)-SUM(E$8:E$11)+IF(AND(OR('Company Information'!$C$12="District of Columbia",'Company Information'!$C$12="Massachusetts",'Company Information'!$C$12="Vermont"),SUM($C$6:$F$11,$C$15:$F$16,$C$37:$D$37)&lt;&gt;0),SUM(J$6:J$7)-SUM(J$10:J$11),0)</f>
        <v>-832</v>
      </c>
      <c r="F12" s="121">
        <f>IFERROR(SUM(C$12:E$12)+C$17*MAX(0,E$49-C$49)+D$17*MAX(0,E$49-D$49),0)</f>
        <v>9629</v>
      </c>
      <c r="G12" s="317"/>
      <c r="H12" s="120">
        <f>SUM(H$6:H$7)+IF(AND(OR('Company Information'!$C$12="District of Columbia",'Company Information'!$C$12="Massachusetts",'Company Information'!$C$12="Vermont"),SUM($H$6:$K$11,$H$15:$K$16,$H$37:$I$37)&lt;&gt;0),SUM(C$6:C$7),0)</f>
        <v>300100</v>
      </c>
      <c r="I12" s="121">
        <f>SUM(I$6:I$7)+IF(AND(OR('Company Information'!$C$12="District of Columbia",'Company Information'!$C$12="Massachusetts",'Company Information'!$C$12="Vermont"),SUM($H$6:$K$11,$H$15:$K$16,$H$37:$I$37)&lt;&gt;0),SUM(D$6:D$7),0)</f>
        <v>74436</v>
      </c>
      <c r="J12" s="121">
        <f>SUM(J$6:J$7)-SUM(J$10:J$11)+IF(AND(OR('Company Information'!$C$12="District of Columbia",'Company Information'!$C$12="Massachusetts",'Company Information'!$C$12="Vermont"),SUM($H$6:$K$11,$H$15:$K$16,$H$37:$I$37)&lt;&gt;0),SUM(E$6:E$7)-SUM(E$8:E$11),0)</f>
        <v>-79</v>
      </c>
      <c r="K12" s="121">
        <f>IFERROR(SUM(H$12:J$12)+H$17*MAX(0,J$49-H$49)+I$17*MAX(0,J$49-I$49),0)</f>
        <v>374457</v>
      </c>
      <c r="L12" s="317"/>
      <c r="M12" s="120">
        <f>SUM(M$6:M$7)</f>
        <v>18286043</v>
      </c>
      <c r="N12" s="121">
        <f>SUM(N$6:N$7)</f>
        <v>-444441</v>
      </c>
      <c r="O12" s="121">
        <f>SUM(O$6:O$7)</f>
        <v>-18629</v>
      </c>
      <c r="P12" s="121">
        <f>SUM(M$12:O$12)+M$17*MAX(0,O$49-M$49)+N$17*MAX(0,O$49-N$49)</f>
        <v>17822973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5162745</v>
      </c>
      <c r="Z13" s="121">
        <f>1.5*SUM(Z$6:Z$7)</f>
        <v>3646558.5</v>
      </c>
      <c r="AA13" s="121">
        <f>1.25*SUM(AA$6:AA$7)</f>
        <v>225</v>
      </c>
      <c r="AB13" s="121">
        <f>1.25*(SUM(AB$6:AB$7)+Y$17*MAX(0,AA$49-Y$49)+Z$17*MAX(0,AA$49-Z$49))</f>
        <v>6726698.75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94819</v>
      </c>
      <c r="D15" s="124">
        <v>0</v>
      </c>
      <c r="E15" s="112">
        <f>SUM('Pt 1 Summary of Data'!E$5:E$7)+SUM('Pt 1 Summary of Data'!G$5:G$7)-SUM('Pt 1 Summary of Data'!H$5:H$7)-SUM(E$9:E$11)+D$55</f>
        <v>0</v>
      </c>
      <c r="F15" s="112">
        <f>SUM(C15:E15)</f>
        <v>94819</v>
      </c>
      <c r="G15" s="113">
        <f>SUM('Pt 1 Summary of Data'!I$5:I$7)-SUM(G$9:G$10)</f>
        <v>0</v>
      </c>
      <c r="H15" s="123">
        <v>438127</v>
      </c>
      <c r="I15" s="124">
        <v>222046</v>
      </c>
      <c r="J15" s="112">
        <f>SUM('Pt 1 Summary of Data'!K$5:K$7)+SUM('Pt 1 Summary of Data'!M$5:M$7)-SUM('Pt 1 Summary of Data'!N$5:N$7)-SUM(J$10:J$11)+I$55</f>
        <v>0</v>
      </c>
      <c r="K15" s="112">
        <f>SUM(H15:J15)</f>
        <v>660173</v>
      </c>
      <c r="L15" s="113">
        <f>SUM('Pt 1 Summary of Data'!O5:O7)-L10</f>
        <v>0</v>
      </c>
      <c r="M15" s="123">
        <v>16691175</v>
      </c>
      <c r="N15" s="124">
        <v>1057400</v>
      </c>
      <c r="O15" s="112">
        <f>SUM('Pt 1 Summary of Data'!Q5:Q7)+N55</f>
        <v>45967</v>
      </c>
      <c r="P15" s="112">
        <f>SUM(M15:O15)</f>
        <v>17794542</v>
      </c>
      <c r="Q15" s="123">
        <v>0</v>
      </c>
      <c r="R15" s="124">
        <v>0</v>
      </c>
      <c r="S15" s="112">
        <f>SUM('Pt 1 Summary of Data'!V5:V7)+R55</f>
        <v>0</v>
      </c>
      <c r="T15" s="112">
        <f>SUM(Q15:S15)</f>
        <v>0</v>
      </c>
      <c r="U15" s="123">
        <v>0</v>
      </c>
      <c r="V15" s="124">
        <v>0</v>
      </c>
      <c r="W15" s="112">
        <f>SUM('Pt 1 Summary of Data'!Y5:Y7)+V55</f>
        <v>0</v>
      </c>
      <c r="X15" s="112">
        <f>SUM(U15:W15)</f>
        <v>0</v>
      </c>
      <c r="Y15" s="123">
        <v>5540704</v>
      </c>
      <c r="Z15" s="124">
        <v>4807205</v>
      </c>
      <c r="AA15" s="112">
        <f>SUM('Pt 1 Summary of Data'!AB5:AB7)+Z55</f>
        <v>38</v>
      </c>
      <c r="AB15" s="112">
        <f>SUM(Y15:AA15)</f>
        <v>10347947</v>
      </c>
      <c r="AC15" s="353"/>
      <c r="AD15" s="352"/>
      <c r="AE15" s="352"/>
      <c r="AF15" s="352"/>
      <c r="AG15" s="353"/>
      <c r="AH15" s="352"/>
      <c r="AI15" s="352"/>
      <c r="AJ15" s="352"/>
      <c r="AK15" s="353"/>
      <c r="AL15" s="124"/>
      <c r="AM15" s="112"/>
      <c r="AN15" s="260"/>
    </row>
    <row r="16" spans="1:40" x14ac:dyDescent="0.2">
      <c r="B16" s="197" t="s">
        <v>313</v>
      </c>
      <c r="C16" s="115">
        <v>19245</v>
      </c>
      <c r="D16" s="116">
        <v>15643</v>
      </c>
      <c r="E16" s="121">
        <f>'Pt 1 Summary of Data'!E25+'Pt 1 Summary of Data'!E26+'Pt 1 Summary of Data'!E27+'Pt 1 Summary of Data'!E28+'Pt 1 Summary of Data'!E30+'Pt 1 Summary of Data'!E31+'Pt 1 Summary of Data'!E34+'Pt 1 Summary of Data'!E35+'Pt 3 MLR and Rebate Calculation'!D56</f>
        <v>-213</v>
      </c>
      <c r="F16" s="121">
        <f>SUM(C16:E16)</f>
        <v>34675</v>
      </c>
      <c r="G16" s="122">
        <f>'Pt 1 Summary of Data'!I25+'Pt 1 Summary of Data'!I26+'Pt 1 Summary of Data'!I27+'Pt 1 Summary of Data'!I28+'Pt 1 Summary of Data'!I30+'Pt 1 Summary of Data'!I31+'Pt 1 Summary of Data'!I34+'Pt 1 Summary of Data'!I35</f>
        <v>0</v>
      </c>
      <c r="H16" s="115">
        <v>31319</v>
      </c>
      <c r="I16" s="116">
        <v>59043</v>
      </c>
      <c r="J16" s="121">
        <f>'Pt 1 Summary of Data'!K25+'Pt 1 Summary of Data'!K26+'Pt 1 Summary of Data'!K27+'Pt 1 Summary of Data'!K28+'Pt 1 Summary of Data'!K30+'Pt 1 Summary of Data'!K31+'Pt 1 Summary of Data'!K34+'Pt 1 Summary of Data'!K35+'Pt 3 MLR and Rebate Calculation'!I56</f>
        <v>-2327</v>
      </c>
      <c r="K16" s="121">
        <f>SUM(H16:J16)</f>
        <v>88035</v>
      </c>
      <c r="L16" s="122">
        <f>'Pt 1 Summary of Data'!O25+'Pt 1 Summary of Data'!O26+'Pt 1 Summary of Data'!O27+'Pt 1 Summary of Data'!O28+'Pt 1 Summary of Data'!O30+'Pt 1 Summary of Data'!O31+'Pt 1 Summary of Data'!O34+'Pt 1 Summary of Data'!O35</f>
        <v>0</v>
      </c>
      <c r="M16" s="115">
        <v>-868002</v>
      </c>
      <c r="N16" s="116">
        <v>306821</v>
      </c>
      <c r="O16" s="121">
        <f>'Pt 1 Summary of Data'!Q25+'Pt 1 Summary of Data'!Q26+'Pt 1 Summary of Data'!Q27+'Pt 1 Summary of Data'!Q28+'Pt 1 Summary of Data'!Q30+'Pt 1 Summary of Data'!Q31+'Pt 1 Summary of Data'!Q34+'Pt 1 Summary of Data'!Q35+'Pt 3 MLR and Rebate Calculation'!N56</f>
        <v>-24675</v>
      </c>
      <c r="P16" s="121">
        <f>SUM(M16:O16)</f>
        <v>-585856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596217</v>
      </c>
      <c r="Z16" s="116">
        <v>721630</v>
      </c>
      <c r="AA16" s="121">
        <f>'Pt 1 Summary of Data'!AB25+'Pt 1 Summary of Data'!AB26+'Pt 1 Summary of Data'!AB27+'Pt 1 Summary of Data'!AB28+'Pt 1 Summary of Data'!AB30+'Pt 1 Summary of Data'!AB31+'Pt 1 Summary of Data'!AB34+'Pt 1 Summary of Data'!AB35+'Pt 3 MLR and Rebate Calculation'!Z56</f>
        <v>-34463</v>
      </c>
      <c r="AB16" s="121">
        <f>SUM(Y16:AA16)</f>
        <v>1283384</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75574</v>
      </c>
      <c r="D17" s="121">
        <f>D$15-D$16+IF(AND(OR('Company Information'!$C$12="District of Columbia",'Company Information'!$C$12="Massachusetts",'Company Information'!$C$12="Vermont"),SUM($C$6:$F$11,$C$15:$F$16,$C$37:$D$37)&lt;&gt;0),I$15-I$16,0)</f>
        <v>-15643</v>
      </c>
      <c r="E17" s="121">
        <f>E$15-E$16+IF(AND(OR('Company Information'!$C$12="District of Columbia",'Company Information'!$C$12="Massachusetts",'Company Information'!$C$12="Vermont"),SUM($C$6:$F$11,$C$15:$F$16,$C$37:$D$37)&lt;&gt;0),J$15-J$16,0)</f>
        <v>213</v>
      </c>
      <c r="F17" s="121">
        <f>F$15-F$16+IF(AND(OR('Company Information'!$C$12="District of Columbia",'Company Information'!$C$12="Massachusetts",'Company Information'!$C$12="Vermont"),SUM($C$6:$F$11,$C$15:$F$16,$C$37:$D$37)&lt;&gt;0),K$15-K$16,0)</f>
        <v>60144</v>
      </c>
      <c r="G17" s="320"/>
      <c r="H17" s="120">
        <f>H$15-H$16+IF(AND(OR('Company Information'!$C$12="District of Columbia",'Company Information'!$C$12="Massachusetts",'Company Information'!$C$12="Vermont"),SUM($H$6:$K$11,$H$15:$K$16,$H$37:$I$37)&lt;&gt;0),C$15-C$16,0)</f>
        <v>406808</v>
      </c>
      <c r="I17" s="121">
        <f>I$15-I$16+IF(AND(OR('Company Information'!$C$12="District of Columbia",'Company Information'!$C$12="Massachusetts",'Company Information'!$C$12="Vermont"),SUM($H$6:$K$11,$H$15:$K$16,$H$37:$I$37)&lt;&gt;0),D$15-D$16,0)</f>
        <v>163003</v>
      </c>
      <c r="J17" s="121">
        <f>J$15-J$16+IF(AND(OR('Company Information'!$C$12="District of Columbia",'Company Information'!$C$12="Massachusetts",'Company Information'!$C$12="Vermont"),SUM($H$6:$K$11,$H$15:$K$16,$H$37:$I$37)&lt;&gt;0),E$15-E$16,0)</f>
        <v>2327</v>
      </c>
      <c r="K17" s="121">
        <f>K$15-K$16+IF(AND(OR('Company Information'!$C$12="District of Columbia",'Company Information'!$C$12="Massachusetts",'Company Information'!$C$12="Vermont"),SUM($H$6:$K$11,$H$15:$K$16,$H$37:$I$37)&lt;&gt;0),F$15-F$16,0)</f>
        <v>572138</v>
      </c>
      <c r="L17" s="320"/>
      <c r="M17" s="120">
        <f>M$15-M$16</f>
        <v>17559177</v>
      </c>
      <c r="N17" s="121">
        <f>N$15-N$16</f>
        <v>750579</v>
      </c>
      <c r="O17" s="121">
        <f>O$15-O$16</f>
        <v>70642</v>
      </c>
      <c r="P17" s="121">
        <f>P$15-P$16</f>
        <v>18380398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4944487</v>
      </c>
      <c r="Z17" s="121">
        <f>Z$15-Z$16</f>
        <v>4085575</v>
      </c>
      <c r="AA17" s="121">
        <f>AA$15-AA$16</f>
        <v>34501</v>
      </c>
      <c r="AB17" s="121">
        <f>AB$15-AB$16</f>
        <v>9064563</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v>
      </c>
      <c r="D37" s="128">
        <v>0</v>
      </c>
      <c r="E37" s="262">
        <f>'Pt 1 Summary of Data'!E60</f>
        <v>0</v>
      </c>
      <c r="F37" s="262">
        <f>SUM(C37:E37)</f>
        <v>8</v>
      </c>
      <c r="G37" s="318"/>
      <c r="H37" s="127">
        <v>145</v>
      </c>
      <c r="I37" s="128">
        <v>92</v>
      </c>
      <c r="J37" s="262">
        <f>'Pt 1 Summary of Data'!K60</f>
        <v>0</v>
      </c>
      <c r="K37" s="262">
        <f>SUM(H37:J37)</f>
        <v>237</v>
      </c>
      <c r="L37" s="318"/>
      <c r="M37" s="127">
        <v>3597</v>
      </c>
      <c r="N37" s="128">
        <v>63</v>
      </c>
      <c r="O37" s="262">
        <f>'Pt 1 Summary of Data'!Q60</f>
        <v>0</v>
      </c>
      <c r="P37" s="262">
        <f>SUM(M37:O37)</f>
        <v>3660</v>
      </c>
      <c r="Q37" s="127">
        <v>0</v>
      </c>
      <c r="R37" s="128">
        <v>0</v>
      </c>
      <c r="S37" s="262">
        <f>'Pt 1 Summary of Data'!V60</f>
        <v>0</v>
      </c>
      <c r="T37" s="262">
        <f>SUM(Q37:S37)</f>
        <v>0</v>
      </c>
      <c r="U37" s="127">
        <v>0</v>
      </c>
      <c r="V37" s="128">
        <v>0</v>
      </c>
      <c r="W37" s="262">
        <f>'Pt 1 Summary of Data'!Y60</f>
        <v>0</v>
      </c>
      <c r="X37" s="262">
        <f>SUM(U37:W37)</f>
        <v>0</v>
      </c>
      <c r="Y37" s="127">
        <v>4673</v>
      </c>
      <c r="Z37" s="128">
        <v>3577</v>
      </c>
      <c r="AA37" s="262">
        <f>'Pt 1 Summary of Data'!AB60</f>
        <v>0</v>
      </c>
      <c r="AB37" s="262">
        <f>SUM(Y37:AA37)</f>
        <v>8250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4.5039999999999997E-2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2.9849999999999998E-2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4.5039999999999997E-2</v>
      </c>
      <c r="Q41" s="298"/>
      <c r="R41" s="294"/>
      <c r="S41" s="294"/>
      <c r="T41" s="266">
        <f>IF(OR(T$37&lt;1000,T$37&gt;=75000),0,T$38*T$40)</f>
        <v>0</v>
      </c>
      <c r="U41" s="298"/>
      <c r="V41" s="294"/>
      <c r="W41" s="294"/>
      <c r="X41" s="266">
        <f>IF(OR(X$37&lt;1000,X$37&gt;=75000),0,X$38*X$40)</f>
        <v>0</v>
      </c>
      <c r="Y41" s="298"/>
      <c r="Z41" s="294"/>
      <c r="AA41" s="294"/>
      <c r="AB41" s="266">
        <f ca="1">IF(OR(AB$37&lt;1000,AB$37&gt;=75000),0,AB$38*AB$40)</f>
        <v>2.9849999999999998E-2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1.0413952202885135</v>
      </c>
      <c r="N44" s="266" t="str">
        <f>IF(OR(N$37&lt;1000,N$17&lt;=0),"",N$12/N$17)</f>
        <v/>
      </c>
      <c r="O44" s="266" t="str">
        <f>IF(OR(O$37&lt;1000,O$17&lt;=0),"",O$12/O$17)</f>
        <v/>
      </c>
      <c r="P44" s="266">
        <f>IF(OR(P$37&lt;1000,P$17&lt;=0),"",P$12/P$17)</f>
        <v>0.96967285474449461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1.0441416874996334</v>
      </c>
      <c r="Z45" s="266">
        <f>IF(OR(Z$37&lt;1000,Z$17&lt;=0),"",Z$13/Z$17)</f>
        <v>0.89254474584360832</v>
      </c>
      <c r="AA45" s="266" t="str">
        <f>IF(OR(AA$37&lt;1000,AA$17&lt;=0),"",AA$13/AA$17)</f>
        <v/>
      </c>
      <c r="AB45" s="266">
        <f>IF(OR(AB$37&lt;1000,AB$17&lt;=0),"",AB$13/AB$17)</f>
        <v>0.74208748397468249</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4.5039999999999997E-2</v>
      </c>
      <c r="Q46" s="299"/>
      <c r="R46" s="295"/>
      <c r="S46" s="295"/>
      <c r="T46" s="266">
        <f>IF(T37&lt;1000,0,T41)</f>
        <v>0</v>
      </c>
      <c r="U46" s="299"/>
      <c r="V46" s="295"/>
      <c r="W46" s="295"/>
      <c r="X46" s="266">
        <f>IF(X37&lt;1000,0,X41)</f>
        <v>0</v>
      </c>
      <c r="Y46" s="299"/>
      <c r="Z46" s="295"/>
      <c r="AA46" s="295"/>
      <c r="AB46" s="266">
        <f ca="1">IF(AB37&lt;1000,0,AB41)</f>
        <v>2.9849999999999998E-2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1.0149999999999999</v>
      </c>
      <c r="Q47" s="298"/>
      <c r="R47" s="294"/>
      <c r="S47" s="294"/>
      <c r="T47" s="266" t="str">
        <f>IF(T$45="","",ROUND(T$45+MAX(0,T$46),3))</f>
        <v/>
      </c>
      <c r="U47" s="298"/>
      <c r="V47" s="294"/>
      <c r="W47" s="294"/>
      <c r="X47" s="266" t="str">
        <f>IF(X$45="","",ROUND(X$45+MAX(0,X$46),3))</f>
        <v/>
      </c>
      <c r="Y47" s="298"/>
      <c r="Z47" s="294"/>
      <c r="AA47" s="294"/>
      <c r="AB47" s="266">
        <f ca="1">IF(AB$45="","",ROUND(AB$45+MAX(0,AB$46),3))</f>
        <v>0.77200000000000002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1.0149999999999999</v>
      </c>
      <c r="Q50" s="299"/>
      <c r="R50" s="295"/>
      <c r="S50" s="295"/>
      <c r="T50" s="266" t="str">
        <f>T47</f>
        <v/>
      </c>
      <c r="U50" s="299"/>
      <c r="V50" s="295"/>
      <c r="W50" s="295"/>
      <c r="X50" s="266" t="str">
        <f>X47</f>
        <v/>
      </c>
      <c r="Y50" s="299"/>
      <c r="Z50" s="295"/>
      <c r="AA50" s="295"/>
      <c r="AB50" s="266">
        <f ca="1">AB47</f>
        <v>0.77200000000000002</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70642</v>
      </c>
      <c r="Q51" s="298"/>
      <c r="R51" s="294"/>
      <c r="S51" s="294"/>
      <c r="T51" s="121" t="str">
        <f>IF(T37&lt;1000,"",MAX(0,S15-S16))</f>
        <v/>
      </c>
      <c r="U51" s="298"/>
      <c r="V51" s="294"/>
      <c r="W51" s="294"/>
      <c r="X51" s="121" t="str">
        <f>IF(X37&lt;1000,"",MAX(0,W15-W16))</f>
        <v/>
      </c>
      <c r="Y51" s="298"/>
      <c r="Z51" s="294"/>
      <c r="AA51" s="294"/>
      <c r="AB51" s="121">
        <f>IF(AB37&lt;1000,"",MAX(0,AA15-AA16))</f>
        <v>34501</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2691.0779999999986</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2691.0779999999986</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