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J11" i="10" s="1"/>
  <c r="K11" i="10" s="1"/>
  <c r="L34" i="10"/>
  <c r="L22" i="10"/>
  <c r="L16" i="10"/>
  <c r="L10" i="10"/>
  <c r="L15" i="10" s="1"/>
  <c r="K49" i="10"/>
  <c r="K40" i="10"/>
  <c r="J10" i="10"/>
  <c r="K10" i="10" s="1"/>
  <c r="G35" i="10"/>
  <c r="G34" i="10"/>
  <c r="G22" i="10"/>
  <c r="G16" i="10"/>
  <c r="G10" i="10"/>
  <c r="G9" i="10"/>
  <c r="G8" i="10"/>
  <c r="F49" i="10"/>
  <c r="F40" i="10"/>
  <c r="E11" i="10"/>
  <c r="F11" i="10" s="1"/>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4" s="1"/>
  <c r="AA12" i="18"/>
  <c r="AA11" i="18"/>
  <c r="AA9" i="18"/>
  <c r="Y56" i="18"/>
  <c r="Y55" i="18"/>
  <c r="Y22" i="4" s="1"/>
  <c r="Y36" i="18"/>
  <c r="Y35" i="18"/>
  <c r="Y54" i="18" s="1"/>
  <c r="Y12" i="4" s="1"/>
  <c r="Y11" i="18"/>
  <c r="Y10" i="18"/>
  <c r="X55" i="18"/>
  <c r="X54" i="18"/>
  <c r="X12" i="4" s="1"/>
  <c r="X12" i="18"/>
  <c r="X11" i="18"/>
  <c r="X9" i="18"/>
  <c r="V56" i="18"/>
  <c r="V55" i="18"/>
  <c r="V36" i="18"/>
  <c r="V35" i="18"/>
  <c r="V54" i="18" s="1"/>
  <c r="V12" i="4" s="1"/>
  <c r="S6" i="10" s="1"/>
  <c r="V11" i="18"/>
  <c r="V10" i="18"/>
  <c r="V6" i="18"/>
  <c r="U55" i="18"/>
  <c r="U22" i="4" s="1"/>
  <c r="U54" i="18"/>
  <c r="U12" i="18"/>
  <c r="U11" i="18"/>
  <c r="U9" i="18"/>
  <c r="Q56" i="18"/>
  <c r="Q55" i="18" s="1"/>
  <c r="Q22" i="4" s="1"/>
  <c r="Q36" i="18"/>
  <c r="Q35" i="18"/>
  <c r="Q54" i="18" s="1"/>
  <c r="Q12" i="4" s="1"/>
  <c r="O6" i="10" s="1"/>
  <c r="Q11" i="18"/>
  <c r="Q10" i="18"/>
  <c r="P55" i="18"/>
  <c r="P22" i="4" s="1"/>
  <c r="P54" i="18"/>
  <c r="P12" i="4" s="1"/>
  <c r="P12" i="18"/>
  <c r="P11" i="18"/>
  <c r="P9" i="18"/>
  <c r="O55" i="18"/>
  <c r="O22" i="4" s="1"/>
  <c r="O54" i="18"/>
  <c r="O11" i="18"/>
  <c r="O10" i="18"/>
  <c r="K56" i="18"/>
  <c r="K55" i="18" s="1"/>
  <c r="K22" i="4" s="1"/>
  <c r="K36" i="18"/>
  <c r="K35" i="18"/>
  <c r="K54" i="18" s="1"/>
  <c r="K12" i="4" s="1"/>
  <c r="K17" i="18"/>
  <c r="K11" i="18"/>
  <c r="K10" i="18"/>
  <c r="K6" i="18"/>
  <c r="K5" i="4" s="1"/>
  <c r="J55" i="18"/>
  <c r="J54" i="18"/>
  <c r="J17" i="18"/>
  <c r="J16" i="18"/>
  <c r="J5" i="4" s="1"/>
  <c r="J12" i="18"/>
  <c r="J11" i="18"/>
  <c r="J9" i="18"/>
  <c r="I55" i="18"/>
  <c r="I54" i="18"/>
  <c r="I11" i="18"/>
  <c r="I10" i="18"/>
  <c r="E56" i="18"/>
  <c r="E55" i="18" s="1"/>
  <c r="E22" i="4" s="1"/>
  <c r="E36" i="18"/>
  <c r="E35" i="18"/>
  <c r="E54" i="18" s="1"/>
  <c r="E12" i="4" s="1"/>
  <c r="E6" i="10" s="1"/>
  <c r="E17" i="18"/>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5" i="4"/>
  <c r="O60"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J60" i="4"/>
  <c r="J22" i="4"/>
  <c r="J12"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P15" i="10" l="1"/>
  <c r="P17" i="10" s="1"/>
  <c r="O17" i="10"/>
  <c r="O44" i="10" s="1"/>
  <c r="P37" i="10"/>
  <c r="X37" i="10"/>
  <c r="F37" i="10"/>
  <c r="J15" i="10"/>
  <c r="J7" i="10"/>
  <c r="K7" i="10" s="1"/>
  <c r="J6" i="10"/>
  <c r="W6" i="10"/>
  <c r="L25" i="10"/>
  <c r="F15" i="10"/>
  <c r="T37" i="10"/>
  <c r="T6" i="10"/>
  <c r="Q17" i="10" s="1"/>
  <c r="S13" i="10"/>
  <c r="G20" i="10"/>
  <c r="AB37" i="10"/>
  <c r="P6" i="10"/>
  <c r="L29" i="10"/>
  <c r="L21" i="10"/>
  <c r="L28" i="10"/>
  <c r="G21" i="10"/>
  <c r="L20" i="10"/>
  <c r="L19" i="10"/>
  <c r="L24" i="10" s="1"/>
  <c r="L23" i="10" s="1"/>
  <c r="T15" i="10"/>
  <c r="F6" i="10"/>
  <c r="D17" i="10" s="1"/>
  <c r="D44" i="10" s="1"/>
  <c r="K37" i="10"/>
  <c r="AA13" i="10"/>
  <c r="AB6" i="10"/>
  <c r="AB13" i="10" s="1"/>
  <c r="S7" i="10"/>
  <c r="T7" i="10" s="1"/>
  <c r="AA15" i="10"/>
  <c r="E7" i="10"/>
  <c r="F7" i="10" s="1"/>
  <c r="O7" i="10"/>
  <c r="P7" i="10" s="1"/>
  <c r="W15" i="10"/>
  <c r="G7" i="10"/>
  <c r="G19" i="10" s="1"/>
  <c r="G24" i="10" s="1"/>
  <c r="Q45" i="10" l="1"/>
  <c r="C17" i="10"/>
  <c r="L27" i="10"/>
  <c r="X6" i="10"/>
  <c r="W13" i="10" s="1"/>
  <c r="U17" i="10"/>
  <c r="U13" i="10"/>
  <c r="F51" i="10"/>
  <c r="F52" i="10" s="1"/>
  <c r="C11" i="16" s="1"/>
  <c r="F46" i="10"/>
  <c r="F44" i="10"/>
  <c r="F47" i="10" s="1"/>
  <c r="F50" i="10" s="1"/>
  <c r="F41" i="10"/>
  <c r="P51" i="10"/>
  <c r="P38" i="10"/>
  <c r="P41" i="10" s="1"/>
  <c r="P46" i="10" s="1"/>
  <c r="AA17" i="10"/>
  <c r="AA45" i="10" s="1"/>
  <c r="AB15" i="10"/>
  <c r="AB17" i="10" s="1"/>
  <c r="C12" i="10"/>
  <c r="S17" i="10"/>
  <c r="S45" i="10" s="1"/>
  <c r="G25" i="10"/>
  <c r="G23" i="10" s="1"/>
  <c r="G27" i="10" s="1"/>
  <c r="R13" i="10"/>
  <c r="E17" i="10"/>
  <c r="E44" i="10" s="1"/>
  <c r="K6" i="10"/>
  <c r="J12" i="10" s="1"/>
  <c r="I17" i="10"/>
  <c r="I44" i="10" s="1"/>
  <c r="D12" i="10"/>
  <c r="O12" i="10"/>
  <c r="P12" i="10" s="1"/>
  <c r="P44" i="10" s="1"/>
  <c r="X15" i="10"/>
  <c r="K51" i="10"/>
  <c r="K52" i="10" s="1"/>
  <c r="D11" i="16" s="1"/>
  <c r="K46" i="10"/>
  <c r="K41" i="10"/>
  <c r="T17" i="10"/>
  <c r="G28" i="10"/>
  <c r="G29" i="10"/>
  <c r="AB45" i="10"/>
  <c r="AB47" i="10" s="1"/>
  <c r="AB50" i="10" s="1"/>
  <c r="AB41" i="10"/>
  <c r="AB51" i="10"/>
  <c r="AB52" i="10" s="1"/>
  <c r="H11" i="16" s="1"/>
  <c r="AB46" i="10"/>
  <c r="AB38" i="10"/>
  <c r="Q13" i="10"/>
  <c r="F17" i="10"/>
  <c r="X41" i="10"/>
  <c r="X51" i="10"/>
  <c r="X52" i="10" s="1"/>
  <c r="G11" i="16" s="1"/>
  <c r="X46" i="10"/>
  <c r="X38" i="10"/>
  <c r="E12" i="10"/>
  <c r="R17" i="10"/>
  <c r="R45" i="10" s="1"/>
  <c r="T51" i="10"/>
  <c r="T52" i="10" s="1"/>
  <c r="F11" i="16" s="1"/>
  <c r="T46" i="10"/>
  <c r="T38" i="10"/>
  <c r="T45" i="10"/>
  <c r="T47" i="10" s="1"/>
  <c r="T50" i="10" s="1"/>
  <c r="T41" i="10"/>
  <c r="K15" i="10"/>
  <c r="J17" i="10"/>
  <c r="J44" i="10" s="1"/>
  <c r="P47" i="10" l="1"/>
  <c r="P50" i="10" s="1"/>
  <c r="G26" i="10"/>
  <c r="G30" i="10" s="1"/>
  <c r="G31" i="10"/>
  <c r="G32" i="10" s="1"/>
  <c r="G33" i="10" s="1"/>
  <c r="U45" i="10"/>
  <c r="X13" i="10"/>
  <c r="F12" i="10"/>
  <c r="C44" i="10"/>
  <c r="F38" i="10" s="1"/>
  <c r="K17" i="10"/>
  <c r="K44" i="10" s="1"/>
  <c r="K47" i="10" s="1"/>
  <c r="K50" i="10" s="1"/>
  <c r="X17" i="10"/>
  <c r="X45" i="10" s="1"/>
  <c r="X47" i="10" s="1"/>
  <c r="X50" i="10" s="1"/>
  <c r="I12" i="10"/>
  <c r="H17" i="10"/>
  <c r="V17" i="10"/>
  <c r="V45" i="10" s="1"/>
  <c r="V13" i="10"/>
  <c r="L31" i="10"/>
  <c r="L32" i="10" s="1"/>
  <c r="L33" i="10" s="1"/>
  <c r="L26" i="10"/>
  <c r="L30" i="10" s="1"/>
  <c r="W17" i="10"/>
  <c r="W45" i="10" s="1"/>
  <c r="H12" i="10"/>
  <c r="P52" i="10"/>
  <c r="E11" i="16" s="1"/>
  <c r="T13" i="10"/>
  <c r="H44" i="10" l="1"/>
  <c r="K38" i="10" s="1"/>
  <c r="K12" i="10"/>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<sst xmlns="http://schemas.openxmlformats.org/spreadsheetml/2006/main" count="570" uniqueCount="509">
  <si>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</si>
  <si>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</si>
  <si>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</si>
  <si>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</si>
  <si>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</si>
  <si>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</si>
  <si>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</si>
  <si>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</si>
  <si>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</si>
  <si>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</si>
  <si>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</si>
  <si>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</si>
  <si>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</si>
  <si>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</si>
  <si>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</si>
  <si>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</si>
  <si>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</si>
  <si>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</si>
  <si>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</si>
  <si>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</si>
  <si>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</si>
  <si>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</si>
  <si>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</si>
  <si>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</si>
  <si>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</si>
  <si>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</si>
  <si>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</si>
  <si>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</si>
  <si>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</si>
  <si>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</si>
  <si>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</si>
  <si>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</si>
  <si>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</si>
  <si>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</si>
  <si>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</si>
  <si>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</si>
  <si>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</si>
  <si>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</si>
  <si>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</si>
  <si>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</si>
  <si>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</si>
  <si>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</si>
  <si>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</si>
  <si>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</si>
  <si>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</si>
  <si>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</si>
  <si>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</si>
  <si>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</si>
  <si>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</si>
  <si>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</si>
  <si>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</si>
  <si>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</si>
  <si>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</si>
  <si>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</si>
  <si>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</si>
  <si>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</si>
  <si>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</si>
  <si>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</si>
  <si>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</si>
  <si>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</si>
  <si>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</si>
  <si>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</si>
  <si>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</si>
  <si>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</si>
  <si>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</si>
  <si>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</si>
  <si>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</si>
  <si>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</si>
  <si>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</si>
  <si>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</si>
  <si>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</si>
  <si>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</si>
  <si>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</si>
  <si>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</si>
  <si>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</si>
  <si>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</si>
  <si>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</si>
  <si>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</si>
  <si>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</si>
  <si>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</si>
  <si>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</si>
  <si>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</si>
  <si>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</si>
  <si>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</si>
  <si>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</si>
  <si>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</si>
  <si>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</si>
  <si>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</si>
  <si>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</si>
  <si>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</si>
  <si>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</si>
  <si>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</si>
  <si>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</si>
  <si>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</si>
  <si>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</si>
  <si>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</si>
  <si>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</si>
  <si>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</si>
  <si>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</si>
  <si>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</si>
  <si>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</si>
  <si>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</si>
  <si>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</si>
  <si>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</si>
  <si>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</si>
  <si>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</si>
  <si>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</si>
  <si>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</si>
  <si>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</si>
  <si>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</si>
  <si>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</si>
  <si>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</si>
  <si>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</si>
  <si>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</si>
  <si>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</si>
  <si>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</si>
  <si>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</si>
  <si>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</si>
  <si>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</si>
  <si>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</si>
  <si>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</si>
  <si>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</si>
  <si>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</si>
  <si>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</si>
  <si>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</si>
  <si>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</si>
  <si>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</si>
  <si>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</si>
  <si>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</si>
  <si>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</si>
  <si>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</si>
  <si>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</si>
  <si>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</si>
  <si>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</si>
  <si>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</si>
  <si>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</si>
  <si>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</si>
  <si>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</si>
  <si>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</si>
  <si>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</si>
  <si>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</si>
  <si>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</si>
  <si>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</si>
  <si>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</si>
  <si>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</si>
  <si>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</si>
  <si>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</si>
  <si>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</si>
  <si>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</si>
  <si>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</si>
  <si>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</si>
  <si>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</si>
  <si>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</si>
  <si>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</si>
  <si>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</si>
  <si>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</si>
  <si>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</si>
  <si>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</si>
  <si>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</si>
  <si>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</si>
  <si>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</si>
  <si>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</si>
  <si>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</si>
  <si>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</si>
  <si>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</si>
  <si>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</si>
  <si>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</si>
  <si>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</si>
  <si>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</si>
  <si>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</si>
  <si>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</si>
  <si>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</si>
  <si>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</si>
  <si>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</si>
  <si>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</si>
  <si>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</si>
  <si>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</si>
  <si>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</si>
  <si>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</si>
  <si>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</si>
  <si>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</si>
  <si>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</si>
  <si>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</si>
  <si>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</si>
  <si>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</si>
  <si>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</si>
  <si>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</si>
  <si>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</si>
  <si>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</si>
  <si>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</si>
  <si>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</si>
  <si>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</si>
  <si>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</si>
  <si>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</si>
  <si>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</si>
  <si>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</si>
  <si>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</si>
  <si>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</si>
  <si>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</si>
  <si>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</si>
  <si>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</si>
  <si>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</si>
  <si>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</si>
  <si>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</si>
  <si>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</si>
  <si>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</si>
  <si>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</si>
  <si>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</si>
  <si>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</si>
  <si>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</si>
  <si>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</si>
  <si>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</si>
  <si>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</si>
  <si>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</si>
  <si>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</si>
  <si>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</si>
  <si>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</si>
  <si>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</si>
  <si>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</si>
  <si>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</si>
  <si>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</si>
  <si>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</si>
  <si>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</si>
  <si>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</si>
  <si>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</si>
  <si>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</si>
  <si>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</si>
  <si>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</si>
  <si>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</si>
  <si>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</si>
  <si>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</si>
  <si>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</si>
  <si>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</si>
  <si>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</si>
  <si>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</si>
  <si>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</si>
  <si>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</si>
  <si>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</si>
  <si>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</si>
  <si>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</si>
  <si>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</si>
  <si>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</si>
  <si>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</si>
  <si>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</si>
  <si>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</si>
  <si>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</si>
  <si>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</si>
  <si>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</si>
  <si>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</si>
  <si>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</si>
  <si>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</si>
  <si>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</si>
  <si>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</si>
  <si>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</si>
  <si>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</si>
  <si>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</si>
  <si>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</si>
  <si>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</si>
  <si>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</si>
  <si>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</si>
  <si>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</si>
  <si>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</si>
  <si>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</si>
  <si>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</si>
  <si>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</si>
  <si>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</si>
  <si>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</si>
  <si>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</si>
  <si>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</si>
  <si>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</si>
  <si>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</si>
  <si>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</si>
  <si>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</si>
  <si>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</si>
  <si>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</si>
  <si>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</si>
  <si>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</si>
  <si>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</si>
  <si>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</si>
  <si>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</si>
  <si>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</si>
  <si>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</si>
  <si>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</si>
  <si>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</si>
  <si>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</si>
  <si>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</si>
  <si>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</si>
  <si>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</si>
  <si>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</si>
  <si>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</si>
  <si>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</si>
  <si>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</si>
  <si>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</si>
  <si>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</si>
  <si>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</si>
  <si>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</si>
  <si>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</si>
  <si>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</si>
  <si>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</si>
  <si>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</si>
  <si>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</si>
  <si>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</si>
  <si>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</si>
  <si>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</si>
  <si>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</si>
  <si>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</si>
  <si>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</si>
  <si>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</si>
  <si>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</si>
  <si>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</si>
  <si>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</si>
  <si>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</si>
  <si>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</si>
  <si>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</si>
  <si>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</si>
  <si>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</si>
  <si>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</si>
  <si>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</si>
  <si>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</si>
  <si>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</si>
  <si>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</si>
  <si>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</si>
  <si>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</si>
  <si>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</si>
  <si>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</si>
  <si>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</si>
  <si>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</si>
  <si>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</si>
  <si>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</si>
  <si>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</si>
  <si>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</si>
  <si>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</si>
  <si>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</si>
  <si>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</si>
  <si>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</si>
  <si>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</si>
  <si>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</si>
  <si>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</si>
  <si>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</si>
  <si>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</si>
  <si>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</si>
  <si>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</si>
  <si>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</si>
  <si>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</si>
  <si>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</si>
  <si>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</si>
  <si>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</si>
  <si>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</si>
  <si>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</si>
  <si>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</si>
  <si>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</si>
  <si>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</si>
  <si>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</si>
  <si>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</si>
  <si>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</si>
  <si>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</si>
  <si>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</si>
  <si>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</si>
  <si>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</si>
  <si>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</si>
  <si>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</si>
  <si>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</si>
  <si>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</si>
  <si>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</si>
  <si>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</si>
  <si>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</si>
  <si>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</si>
  <si>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</si>
  <si>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</si>
  <si>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</si>
  <si>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</si>
  <si>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</si>
  <si>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</si>
  <si>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</si>
  <si>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</si>
  <si>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</si>
  <si>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</si>
  <si>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</si>
  <si>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</si>
  <si>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</si>
  <si>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</si>
  <si>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</si>
  <si>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</si>
  <si>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</si>
  <si>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</si>
  <si>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</si>
  <si>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</si>
  <si>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</si>
  <si>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</si>
  <si>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</si>
  <si>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</si>
  <si>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</si>
  <si>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</si>
  <si>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</si>
  <si>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</si>
  <si>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</si>
  <si>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</si>
  <si>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</si>
  <si>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</si>
  <si>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</si>
  <si>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</si>
  <si>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</si>
  <si>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</si>
  <si>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</si>
  <si>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</si>
  <si>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</si>
  <si>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</si>
  <si>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</si>
  <si>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</si>
  <si>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</si>
  <si>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</si>
  <si>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</si>
  <si>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</si>
  <si>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</si>
  <si>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</si>
  <si>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</si>
  <si>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</si>
  <si>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</si>
  <si>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</si>
  <si>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</si>
  <si>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</si>
  <si>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</si>
  <si>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</si>
  <si>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</si>
  <si>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</si>
  <si>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</si>
  <si>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</si>
  <si>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</si>
  <si>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</si>
  <si>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</si>
  <si>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</si>
  <si>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</si>
  <si>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</si>
  <si>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</si>
  <si>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</si>
  <si>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</si>
  <si>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</si>
  <si>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</si>
  <si>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</si>
  <si>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</si>
  <si>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</si>
  <si>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</si>
  <si>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</si>
  <si>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</si>
  <si>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</si>
  <si>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</si>
  <si>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</si>
  <si>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</si>
  <si>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</si>
  <si>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</si>
  <si>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</si>
  <si>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</si>
  <si>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</si>
  <si>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</si>
  <si>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</si>
  <si>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</si>
  <si>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</si>
  <si>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</si>
  <si>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</si>
  <si>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</si>
  <si>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</si>
  <si>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</si>
  <si>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</si>
  <si>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</si>
  <si>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</si>
  <si>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</si>
  <si>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</si>
  <si>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</si>
  <si>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</si>
  <si>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</si>
  <si>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</si>
  <si>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</si>
  <si>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</si>
  <si>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</si>
  <si>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</si>
  <si>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</si>
  <si>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</si>
  <si>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</si>
  <si>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</si>
  <si>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</si>
  <si>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</si>
  <si>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</si>
  <si>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</si>
  <si>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</si>
  <si>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</si>
  <si>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</si>
  <si>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</si>
  <si>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</si>
  <si>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</si>
  <si>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</si>
  <si>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</si>
  <si>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</si>
  <si>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</si>
  <si>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</si>
  <si>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</si>
  <si>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</si>
  <si>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</si>
  <si>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</si>
  <si>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</si>
  <si>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</si>
  <si>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</si>
  <si>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</si>
  <si>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</si>
  <si>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18804</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</si>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</sst>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161</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-147283</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-4924</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-4</v>
      </c>
      <c r="Q7" s="116">
        <f>P7</f>
        <v>-4</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-39</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-83</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-845</v>
      </c>
      <c r="E12" s="112">
        <f>'Pt 2 Premium and Claims'!E54</f>
        <v>-845</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-1735346</v>
      </c>
      <c r="Q12" s="112">
        <f>'Pt 2 Premium and Claims'!Q54</f>
        <v>-299876</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-1443</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-73833</v>
      </c>
      <c r="AT12" s="113">
        <f>'Pt 2 Premium and Claims'!AT54</f>
        <v>55548</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68302</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202967</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31</v>
      </c>
      <c r="Q14" s="116">
        <v>148629</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1520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2446</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170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767618</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-156</v>
      </c>
      <c r="E25" s="116">
        <f>D25</f>
        <v>-156</v>
      </c>
      <c r="F25" s="116"/>
      <c r="G25" s="116"/>
      <c r="H25" s="116"/>
      <c r="I25" s="115">
        <v>0</v>
      </c>
      <c r="J25" s="115">
        <v>0</v>
      </c>
      <c r="K25" s="116">
        <f>J25</f>
        <v>0</v>
      </c>
      <c r="L25" s="116"/>
      <c r="M25" s="116"/>
      <c r="N25" s="116"/>
      <c r="O25" s="115">
        <v>0</v>
      </c>
      <c r="P25" s="115">
        <v>-279802</v>
      </c>
      <c r="Q25" s="116">
        <f>P25</f>
        <v>-279802</v>
      </c>
      <c r="R25" s="116"/>
      <c r="S25" s="116"/>
      <c r="T25" s="116"/>
      <c r="U25" s="115">
        <v>0</v>
      </c>
      <c r="V25" s="116">
        <f>U25</f>
        <v>0</v>
      </c>
      <c r="W25" s="116"/>
      <c r="X25" s="115">
        <v>0</v>
      </c>
      <c r="Y25" s="116">
        <f>X25</f>
        <v>0</v>
      </c>
      <c r="Z25" s="116"/>
      <c r="AA25" s="115">
        <v>-246</v>
      </c>
      <c r="AB25" s="116">
        <f>AA25</f>
        <v>-246</v>
      </c>
      <c r="AC25" s="116"/>
      <c r="AD25" s="115"/>
      <c r="AE25" s="297"/>
      <c r="AF25" s="297"/>
      <c r="AG25" s="297"/>
      <c r="AH25" s="300"/>
      <c r="AI25" s="115"/>
      <c r="AJ25" s="297"/>
      <c r="AK25" s="297"/>
      <c r="AL25" s="297"/>
      <c r="AM25" s="300"/>
      <c r="AN25" s="115"/>
      <c r="AO25" s="116"/>
      <c r="AP25" s="116"/>
      <c r="AQ25" s="116"/>
      <c r="AR25" s="116"/>
      <c r="AS25" s="115">
        <v>-13603</v>
      </c>
      <c r="AT25" s="119">
        <v>11424</v>
      </c>
      <c r="AU25" s="119">
        <v>0</v>
      </c>
      <c r="AV25" s="119">
        <v>-164</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2</v>
      </c>
      <c r="Q26" s="116">
        <f>P26</f>
        <v>2</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29</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-2</v>
      </c>
      <c r="Q30" s="116">
        <f>P30</f>
        <v>-2</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-15</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-10</v>
      </c>
      <c r="Q31" s="116">
        <f>P31</f>
        <v>-10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-95</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517</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1</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43</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2238</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44</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9</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3</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66502</v>
      </c>
      <c r="Q44" s="124">
        <v>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23</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-40</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95</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-8</v>
      </c>
      <c r="Q47" s="116">
        <f>P47</f>
        <v>-8</v>
      </c>
      <c r="R47" s="116"/>
      <c r="S47" s="116"/>
      <c r="T47" s="116"/>
      <c r="U47" s="115">
        <v>0</v>
      </c>
      <c r="V47" s="116">
        <f>U47</f>
        <v>0</v>
      </c>
      <c r="W47" s="116"/>
      <c r="X47" s="115">
        <v>0</v>
      </c>
      <c r="Y47" s="116">
        <f>X47</f>
        <v>0</v>
      </c>
      <c r="Z47" s="116"/>
      <c r="AA47" s="115">
        <v>110</v>
      </c>
      <c r="AB47" s="116">
        <f>AA47</f>
        <v>110</v>
      </c>
      <c r="AC47" s="116"/>
      <c r="AD47" s="115"/>
      <c r="AE47" s="297"/>
      <c r="AF47" s="297"/>
      <c r="AG47" s="297"/>
      <c r="AH47" s="297"/>
      <c r="AI47" s="115"/>
      <c r="AJ47" s="297"/>
      <c r="AK47" s="297"/>
      <c r="AL47" s="297"/>
      <c r="AM47" s="297"/>
      <c r="AN47" s="115"/>
      <c r="AO47" s="116"/>
      <c r="AP47" s="116"/>
      <c r="AQ47" s="116"/>
      <c r="AR47" s="116"/>
      <c r="AS47" s="115">
        <v>0</v>
      </c>
      <c r="AT47" s="119">
        <v>-77</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1319</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891</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486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225337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c r="G5" s="136"/>
      <c r="H5" s="136"/>
      <c r="I5" s="123">
        <v>0</v>
      </c>
      <c r="J5" s="123">
        <v>0</v>
      </c>
      <c r="K5" s="124">
        <v>0</v>
      </c>
      <c r="L5" s="124"/>
      <c r="M5" s="124"/>
      <c r="N5" s="124"/>
      <c r="O5" s="123">
        <v>0</v>
      </c>
      <c r="P5" s="123">
        <v>-140778</v>
      </c>
      <c r="Q5" s="124">
        <v>-19995</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-10071</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19995</v>
      </c>
      <c r="Q6" s="116">
        <v>19995</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5140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-187</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-7</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-844</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844</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26687</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1881968</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-1763490</v>
      </c>
      <c r="AT23" s="119">
        <v>82547</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-271086</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-10874</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-337</v>
      </c>
      <c r="AU26" s="119">
        <v>0</v>
      </c>
      <c r="AV26" s="317"/>
      <c r="AW26" s="324"/>
    </row>
    <row r="27" spans="2:49" s="11" customFormat="1" ht="25.5" x14ac:dyDescent="0.2">
      <c r="B27" s="184" t="s">
        <v>85</v>
      </c>
      <c r="C27" s="139"/>
      <c r="D27" s="299"/>
      <c r="E27" s="116">
        <v>-1</v>
      </c>
      <c r="F27" s="116"/>
      <c r="G27" s="116"/>
      <c r="H27" s="116"/>
      <c r="I27" s="115">
        <v>0</v>
      </c>
      <c r="J27" s="299"/>
      <c r="K27" s="116">
        <v>0</v>
      </c>
      <c r="L27" s="116"/>
      <c r="M27" s="116"/>
      <c r="N27" s="116"/>
      <c r="O27" s="115">
        <v>0</v>
      </c>
      <c r="P27" s="299"/>
      <c r="Q27" s="116">
        <v>-1258</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v>
      </c>
      <c r="E28" s="295"/>
      <c r="F28" s="295"/>
      <c r="G28" s="295"/>
      <c r="H28" s="295"/>
      <c r="I28" s="299"/>
      <c r="J28" s="115">
        <v>0</v>
      </c>
      <c r="K28" s="295"/>
      <c r="L28" s="295"/>
      <c r="M28" s="295"/>
      <c r="N28" s="295"/>
      <c r="O28" s="299"/>
      <c r="P28" s="115">
        <v>3851024</v>
      </c>
      <c r="Q28" s="295"/>
      <c r="R28" s="295"/>
      <c r="S28" s="295"/>
      <c r="T28" s="295"/>
      <c r="U28" s="115">
        <v>0</v>
      </c>
      <c r="V28" s="295"/>
      <c r="W28" s="295"/>
      <c r="X28" s="115">
        <v>0</v>
      </c>
      <c r="Y28" s="295"/>
      <c r="Z28" s="295"/>
      <c r="AA28" s="115">
        <v>1443</v>
      </c>
      <c r="AB28" s="295"/>
      <c r="AC28" s="295"/>
      <c r="AD28" s="115"/>
      <c r="AE28" s="294"/>
      <c r="AF28" s="294"/>
      <c r="AG28" s="294"/>
      <c r="AH28" s="294"/>
      <c r="AI28" s="115"/>
      <c r="AJ28" s="294"/>
      <c r="AK28" s="294"/>
      <c r="AL28" s="294"/>
      <c r="AM28" s="294"/>
      <c r="AN28" s="115"/>
      <c r="AO28" s="295"/>
      <c r="AP28" s="295"/>
      <c r="AQ28" s="295"/>
      <c r="AR28" s="295"/>
      <c r="AS28" s="115">
        <v>276800</v>
      </c>
      <c r="AT28" s="119">
        <v>9416</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-8</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42563</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-460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59809</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-66</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-66</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f>D36</f>
        <v>0</v>
      </c>
      <c r="F36" s="116"/>
      <c r="G36" s="116"/>
      <c r="H36" s="116"/>
      <c r="I36" s="115">
        <v>0</v>
      </c>
      <c r="J36" s="115">
        <v>0</v>
      </c>
      <c r="K36" s="116">
        <f>J36</f>
        <v>0</v>
      </c>
      <c r="L36" s="116"/>
      <c r="M36" s="116"/>
      <c r="N36" s="116"/>
      <c r="O36" s="115">
        <v>0</v>
      </c>
      <c r="P36" s="115">
        <v>27466</v>
      </c>
      <c r="Q36" s="116">
        <f>P36</f>
        <v>27466</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-844</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844</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1012</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727</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271379</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1966457</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-845</v>
      </c>
      <c r="E54" s="121">
        <f>E24+E27+E31+E35-E36+E39+E42+E45+E46-E49+E51+E52+E53</f>
        <v>-845</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-1735346</v>
      </c>
      <c r="Q54" s="121">
        <f>Q24+Q27+Q31+Q35-Q36+Q39+Q42+Q45+Q46-Q49+Q51+Q52+Q53</f>
        <v>-299876</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-1443</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-73833</v>
      </c>
      <c r="AT54" s="122">
        <f>AT23+AT26-AT28+AT30-AT32+AT34-AT36+AT38+AT41-AT43+AT45+AT46-AT47-AT49+AT50+AT51+AT52+AT53</f>
        <v>55548</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1107.8399999999999</v>
      </c>
      <c r="D5" s="124">
        <v>-22</v>
      </c>
      <c r="E5" s="352"/>
      <c r="F5" s="352"/>
      <c r="G5" s="318"/>
      <c r="H5" s="123">
        <v>0</v>
      </c>
      <c r="I5" s="124">
        <v>0</v>
      </c>
      <c r="J5" s="352"/>
      <c r="K5" s="352"/>
      <c r="L5" s="318"/>
      <c r="M5" s="123">
        <v>39683637.530000001</v>
      </c>
      <c r="N5" s="124">
        <v>33364806</v>
      </c>
      <c r="O5" s="352"/>
      <c r="P5" s="352"/>
      <c r="Q5" s="123">
        <v>0</v>
      </c>
      <c r="R5" s="124">
        <v>0</v>
      </c>
      <c r="S5" s="352"/>
      <c r="T5" s="352"/>
      <c r="U5" s="123">
        <v>0</v>
      </c>
      <c r="V5" s="124">
        <v>0</v>
      </c>
      <c r="W5" s="352"/>
      <c r="X5" s="352"/>
      <c r="Y5" s="123">
        <v>11904.48</v>
      </c>
      <c r="Z5" s="124">
        <v>8599</v>
      </c>
      <c r="AA5" s="352"/>
      <c r="AB5" s="352"/>
      <c r="AC5" s="353"/>
      <c r="AD5" s="352"/>
      <c r="AE5" s="352"/>
      <c r="AF5" s="352"/>
      <c r="AG5" s="353"/>
      <c r="AH5" s="352"/>
      <c r="AI5" s="352"/>
      <c r="AJ5" s="352"/>
      <c r="AK5" s="353"/>
      <c r="AL5" s="124"/>
      <c r="AM5" s="352"/>
      <c r="AN5" s="354"/>
    </row>
    <row r="6" spans="1:40" s="15" customFormat="1" ht="25.5" x14ac:dyDescent="0.2">
      <c r="A6" s="148"/>
      <c r="B6" s="197" t="s">
        <v>311</v>
      </c>
      <c r="C6" s="115">
        <v>1084</v>
      </c>
      <c r="D6" s="116">
        <v>-22</v>
      </c>
      <c r="E6" s="121">
        <f>SUM('Pt 1 Summary of Data'!E$12,'Pt 1 Summary of Data'!E$22)+SUM('Pt 1 Summary of Data'!G$12,'Pt 1 Summary of Data'!G$22)-SUM('Pt 1 Summary of Data'!H$12,'Pt 1 Summary of Data'!H$22)</f>
        <v>-845</v>
      </c>
      <c r="F6" s="121">
        <f>SUM(C6:E6)</f>
        <v>217</v>
      </c>
      <c r="G6" s="122">
        <f>'Pt 1 Summary of Data'!I12+'Pt 1 Summary of Data'!I22</f>
        <v>0</v>
      </c>
      <c r="H6" s="115">
        <v>0</v>
      </c>
      <c r="I6" s="116">
        <v>0</v>
      </c>
      <c r="J6" s="121">
        <f>'Pt 1 Summary of Data'!K12+'Pt 1 Summary of Data'!K22</f>
        <v>0</v>
      </c>
      <c r="K6" s="121">
        <f>SUM(H6:J6)</f>
        <v>0</v>
      </c>
      <c r="L6" s="122">
        <f>'Pt 1 Summary of Data'!O12+'Pt 1 Summary of Data'!O22</f>
        <v>0</v>
      </c>
      <c r="M6" s="115">
        <v>40222729</v>
      </c>
      <c r="N6" s="116">
        <v>32669544</v>
      </c>
      <c r="O6" s="121">
        <f>'Pt 1 Summary of Data'!Q12+'Pt 1 Summary of Data'!Q22</f>
        <v>-299876</v>
      </c>
      <c r="P6" s="121">
        <f>SUM(M6:O6)</f>
        <v>72592397</v>
      </c>
      <c r="Q6" s="115">
        <v>0</v>
      </c>
      <c r="R6" s="116">
        <v>0</v>
      </c>
      <c r="S6" s="121">
        <f>'Pt 1 Summary of Data'!V12+'Pt 1 Summary of Data'!V22</f>
        <v>0</v>
      </c>
      <c r="T6" s="121">
        <f>SUM(Q6:S6)</f>
        <v>0</v>
      </c>
      <c r="U6" s="115">
        <v>0</v>
      </c>
      <c r="V6" s="116">
        <v>0</v>
      </c>
      <c r="W6" s="121">
        <f>'Pt 1 Summary of Data'!Y12+'Pt 1 Summary of Data'!Y22</f>
        <v>0</v>
      </c>
      <c r="X6" s="121">
        <f>SUM(U6:W6)</f>
        <v>0</v>
      </c>
      <c r="Y6" s="115">
        <v>12260</v>
      </c>
      <c r="Z6" s="116">
        <v>8168</v>
      </c>
      <c r="AA6" s="121">
        <f>'Pt 1 Summary of Data'!AB12+'Pt 1 Summary of Data'!AB22</f>
        <v>0</v>
      </c>
      <c r="AB6" s="121">
        <f>SUM(Y6:AA6)</f>
        <v>20428</v>
      </c>
      <c r="AC6" s="298"/>
      <c r="AD6" s="294"/>
      <c r="AE6" s="294"/>
      <c r="AF6" s="294"/>
      <c r="AG6" s="298"/>
      <c r="AH6" s="294"/>
      <c r="AI6" s="294"/>
      <c r="AJ6" s="294"/>
      <c r="AK6" s="298"/>
      <c r="AL6" s="116"/>
      <c r="AM6" s="121"/>
      <c r="AN6" s="259"/>
    </row>
    <row r="7" spans="1:40" x14ac:dyDescent="0.2">
      <c r="B7" s="197" t="s">
        <v>312</v>
      </c>
      <c r="C7" s="115">
        <v>8</v>
      </c>
      <c r="D7" s="116">
        <v>0</v>
      </c>
      <c r="E7" s="121">
        <f>SUM('Pt 1 Summary of Data'!E37:E41)+MAX(0,MIN('Pt 1 Summary of Data'!E42,0.3%*('Pt 1 Summary of Data'!E5-SUM(E9:E11))))</f>
        <v>0</v>
      </c>
      <c r="F7" s="121">
        <f>SUM(C7:E7)</f>
        <v>8</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317968</v>
      </c>
      <c r="N7" s="116">
        <v>201769</v>
      </c>
      <c r="O7" s="121">
        <f>SUM('Pt 1 Summary of Data'!Q37:Q41)+MAX(0,MIN('Pt 1 Summary of Data'!Q42,0.3%*('Pt 1 Summary of Data'!Q5)))</f>
        <v>0</v>
      </c>
      <c r="P7" s="121">
        <f>SUM(M7:O7)</f>
        <v>519737</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1092</v>
      </c>
      <c r="D12" s="121">
        <f>SUM(D$6:D$7)+IF(AND(OR('Company Information'!$C$12="District of Columbia",'Company Information'!$C$12="Massachusetts",'Company Information'!$C$12="Vermont"),SUM($C$6:$F$11,$C$15:$F$16,$C$37:$D$37)&lt;&gt;0),SUM(I$6:I$7),0)</f>
        <v>-22</v>
      </c>
      <c r="E12" s="121">
        <f>SUM(E$6:E$7)-SUM(E$8:E$11)+IF(AND(OR('Company Information'!$C$12="District of Columbia",'Company Information'!$C$12="Massachusetts",'Company Information'!$C$12="Vermont"),SUM($C$6:$F$11,$C$15:$F$16,$C$37:$D$37)&lt;&gt;0),SUM(J$6:J$7)-SUM(J$10:J$11),0)</f>
        <v>-845</v>
      </c>
      <c r="F12" s="121">
        <f>IFERROR(SUM(C$12:E$12)+C$17*MAX(0,E$49-C$49)+D$17*MAX(0,E$49-D$49),0)</f>
        <v>290.39999999999998</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40540697</v>
      </c>
      <c r="N12" s="121">
        <f>SUM(N$6:N$7)</f>
        <v>32871313</v>
      </c>
      <c r="O12" s="121">
        <f>SUM(O$6:O$7)</f>
        <v>-299876</v>
      </c>
      <c r="P12" s="121">
        <f>SUM(M$12:O$12)+M$17*MAX(0,O$49-M$49)+N$17*MAX(0,O$49-N$49)</f>
        <v>73112134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21455</v>
      </c>
      <c r="Z13" s="121">
        <f>1.5*SUM(Z$6:Z$7)</f>
        <v>12252</v>
      </c>
      <c r="AA13" s="121">
        <f>1.25*SUM(AA$6:AA$7)</f>
        <v>0</v>
      </c>
      <c r="AB13" s="121">
        <f>1.25*(SUM(AB$6:AB$7)+Y$17*MAX(0,AA$49-Y$49)+Z$17*MAX(0,AA$49-Z$49))</f>
        <v>25535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v>
      </c>
      <c r="D15" s="124">
        <v>0</v>
      </c>
      <c r="E15" s="112">
        <f>SUM('Pt 1 Summary of Data'!E$5:E$7)+SUM('Pt 1 Summary of Data'!G$5:G$7)-SUM('Pt 1 Summary of Data'!H$5:H$7)-SUM(E$9:E$11)+D$55</f>
        <v>0</v>
      </c>
      <c r="F15" s="112">
        <f>SUM(C15:E15)</f>
        <v>-1</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50051521</v>
      </c>
      <c r="N15" s="124">
        <v>43621649</v>
      </c>
      <c r="O15" s="112">
        <f>SUM('Pt 1 Summary of Data'!Q5:Q7)+N55</f>
        <v>-4</v>
      </c>
      <c r="P15" s="112">
        <f>SUM(M15:O15)</f>
        <v>93673166</v>
      </c>
      <c r="Q15" s="123">
        <v>0</v>
      </c>
      <c r="R15" s="124">
        <v>0</v>
      </c>
      <c r="S15" s="112">
        <f>SUM('Pt 1 Summary of Data'!V5:V7)+R55</f>
        <v>0</v>
      </c>
      <c r="T15" s="112">
        <f>SUM(Q15:S15)</f>
        <v>0</v>
      </c>
      <c r="U15" s="123">
        <v>0</v>
      </c>
      <c r="V15" s="124">
        <v>0</v>
      </c>
      <c r="W15" s="112">
        <f>SUM('Pt 1 Summary of Data'!Y5:Y7)+V55</f>
        <v>0</v>
      </c>
      <c r="X15" s="112">
        <f>SUM(U15:W15)</f>
        <v>0</v>
      </c>
      <c r="Y15" s="123">
        <v>23442</v>
      </c>
      <c r="Z15" s="124">
        <v>23605</v>
      </c>
      <c r="AA15" s="112">
        <f>SUM('Pt 1 Summary of Data'!AB5:AB7)+Z55</f>
        <v>0</v>
      </c>
      <c r="AB15" s="112">
        <f>SUM(Y15:AA15)</f>
        <v>47047</v>
      </c>
      <c r="AC15" s="353"/>
      <c r="AD15" s="352"/>
      <c r="AE15" s="352"/>
      <c r="AF15" s="352"/>
      <c r="AG15" s="353"/>
      <c r="AH15" s="352"/>
      <c r="AI15" s="352"/>
      <c r="AJ15" s="352"/>
      <c r="AK15" s="353"/>
      <c r="AL15" s="124"/>
      <c r="AM15" s="112"/>
      <c r="AN15" s="260"/>
    </row>
    <row r="16" spans="1:40" x14ac:dyDescent="0.2">
      <c r="B16" s="197" t="s">
        <v>313</v>
      </c>
      <c r="C16" s="115">
        <v>-437</v>
      </c>
      <c r="D16" s="116">
        <v>413</v>
      </c>
      <c r="E16" s="121">
        <f>'Pt 1 Summary of Data'!E25+'Pt 1 Summary of Data'!E26+'Pt 1 Summary of Data'!E27+'Pt 1 Summary of Data'!E28+'Pt 1 Summary of Data'!E30+'Pt 1 Summary of Data'!E31+'Pt 1 Summary of Data'!E34+'Pt 1 Summary of Data'!E35+'Pt 3 MLR and Rebate Calculation'!D56</f>
        <v>-156</v>
      </c>
      <c r="F16" s="121">
        <f>SUM(C16:E16)</f>
        <v>-180</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2801176</v>
      </c>
      <c r="N16" s="116">
        <v>2711520</v>
      </c>
      <c r="O16" s="121">
        <f>'Pt 1 Summary of Data'!Q25+'Pt 1 Summary of Data'!Q26+'Pt 1 Summary of Data'!Q27+'Pt 1 Summary of Data'!Q28+'Pt 1 Summary of Data'!Q30+'Pt 1 Summary of Data'!Q31+'Pt 1 Summary of Data'!Q34+'Pt 1 Summary of Data'!Q35+'Pt 3 MLR and Rebate Calculation'!N56</f>
        <v>-279812</v>
      </c>
      <c r="P16" s="121">
        <f>SUM(M16:O16)</f>
        <v>5232884</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3084</v>
      </c>
      <c r="Z16" s="116">
        <v>3648</v>
      </c>
      <c r="AA16" s="121">
        <f>'Pt 1 Summary of Data'!AB25+'Pt 1 Summary of Data'!AB26+'Pt 1 Summary of Data'!AB27+'Pt 1 Summary of Data'!AB28+'Pt 1 Summary of Data'!AB30+'Pt 1 Summary of Data'!AB31+'Pt 1 Summary of Data'!AB34+'Pt 1 Summary of Data'!AB35+'Pt 3 MLR and Rebate Calculation'!Z56</f>
        <v>-246</v>
      </c>
      <c r="AB16" s="121">
        <f>SUM(Y16:AA16)</f>
        <v>6486</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436</v>
      </c>
      <c r="D17" s="121">
        <f>D$15-D$16+IF(AND(OR('Company Information'!$C$12="District of Columbia",'Company Information'!$C$12="Massachusetts",'Company Information'!$C$12="Vermont"),SUM($C$6:$F$11,$C$15:$F$16,$C$37:$D$37)&lt;&gt;0),I$15-I$16,0)</f>
        <v>-413</v>
      </c>
      <c r="E17" s="121">
        <f>E$15-E$16+IF(AND(OR('Company Information'!$C$12="District of Columbia",'Company Information'!$C$12="Massachusetts",'Company Information'!$C$12="Vermont"),SUM($C$6:$F$11,$C$15:$F$16,$C$37:$D$37)&lt;&gt;0),J$15-J$16,0)</f>
        <v>156</v>
      </c>
      <c r="F17" s="121">
        <f>F$15-F$16+IF(AND(OR('Company Information'!$C$12="District of Columbia",'Company Information'!$C$12="Massachusetts",'Company Information'!$C$12="Vermont"),SUM($C$6:$F$11,$C$15:$F$16,$C$37:$D$37)&lt;&gt;0),K$15-K$16,0)</f>
        <v>179</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47250345</v>
      </c>
      <c r="N17" s="121">
        <f>N$15-N$16</f>
        <v>40910129</v>
      </c>
      <c r="O17" s="121">
        <f>O$15-O$16</f>
        <v>279808</v>
      </c>
      <c r="P17" s="121">
        <f>P$15-P$16</f>
        <v>88440282</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20358</v>
      </c>
      <c r="Z17" s="121">
        <f>Z$15-Z$16</f>
        <v>19957</v>
      </c>
      <c r="AA17" s="121">
        <f>AA$15-AA$16</f>
        <v>246</v>
      </c>
      <c r="AB17" s="121">
        <f>AB$15-AB$16</f>
        <v>40561</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f>'Pt 1 Summary of Data'!E60</f>
        <v>0</v>
      </c>
      <c r="F37" s="262">
        <f>SUM(C37:E37)</f>
        <v>0</v>
      </c>
      <c r="G37" s="318"/>
      <c r="H37" s="127">
        <v>0</v>
      </c>
      <c r="I37" s="128">
        <v>0</v>
      </c>
      <c r="J37" s="262">
        <f>'Pt 1 Summary of Data'!K60</f>
        <v>0</v>
      </c>
      <c r="K37" s="262">
        <f>SUM(H37:J37)</f>
        <v>0</v>
      </c>
      <c r="L37" s="318"/>
      <c r="M37" s="127">
        <v>9045</v>
      </c>
      <c r="N37" s="128">
        <v>7839</v>
      </c>
      <c r="O37" s="262">
        <f>'Pt 1 Summary of Data'!Q60</f>
        <v>0</v>
      </c>
      <c r="P37" s="262">
        <f>SUM(M37:O37)</f>
        <v>16884</v>
      </c>
      <c r="Q37" s="127">
        <v>0</v>
      </c>
      <c r="R37" s="128">
        <v>0</v>
      </c>
      <c r="S37" s="262">
        <f>'Pt 1 Summary of Data'!V60</f>
        <v>0</v>
      </c>
      <c r="T37" s="262">
        <f>SUM(Q37:S37)</f>
        <v>0</v>
      </c>
      <c r="U37" s="127">
        <v>0</v>
      </c>
      <c r="V37" s="128">
        <v>0</v>
      </c>
      <c r="W37" s="262">
        <f>'Pt 1 Summary of Data'!Y60</f>
        <v>0</v>
      </c>
      <c r="X37" s="262">
        <f>SUM(U37:W37)</f>
        <v>0</v>
      </c>
      <c r="Y37" s="127">
        <v>24</v>
      </c>
      <c r="Z37" s="128">
        <v>23</v>
      </c>
      <c r="AA37" s="262">
        <f>'Pt 1 Summary of Data'!AB60</f>
        <v>0</v>
      </c>
      <c r="AB37" s="262">
        <f>SUM(Y37:AA37)</f>
        <v>47</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2.1410666666666668E-2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2.1410666666666668E-2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0.85799790456556457</v>
      </c>
      <c r="N44" s="266">
        <f>IF(OR(N$37&lt;1000,N$17&lt;=0),"",N$12/N$17)</f>
        <v>0.8035005951704528</v>
      </c>
      <c r="O44" s="266" t="str">
        <f>IF(OR(O$37&lt;1000,O$17&lt;=0),"",O$12/O$17)</f>
        <v/>
      </c>
      <c r="P44" s="266">
        <f>IF(OR(P$37&lt;1000,P$17&lt;=0),"",P$12/P$17)</f>
        <v>0.8266836372140921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2.1410666666666668E-2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0.84799999999999998</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0.65</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0.84799999999999998</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279808</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559.61600000000044</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559.61600000000044</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2" t="s">
        <v>507</v>
      </c>
      <c r="D23" s="6"/>
      <c r="E23" s="6"/>
      <c r="F23" s="6"/>
      <c r="G23" s="6"/>
      <c r="H23" s="6"/>
      <c r="I23" s="6"/>
      <c r="J23" s="6"/>
      <c r="K23" s="5"/>
    </row>
    <row r="24" spans="2:12" s="11" customFormat="1" ht="100.15" customHeight="1" x14ac:dyDescent="0.2">
      <c r="B24" s="107"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2015-07-29T17:47:36Z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