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1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6" i="10" s="1"/>
  <c r="E5" i="4"/>
  <c r="D60" i="4"/>
  <c r="D22" i="4"/>
  <c r="D5" i="4"/>
  <c r="K15" i="10" l="1"/>
  <c r="F6" i="10"/>
  <c r="T6" i="10"/>
  <c r="AB6" i="10"/>
  <c r="AB13" i="10" s="1"/>
  <c r="AA13" i="10"/>
  <c r="J6" i="10"/>
  <c r="E7" i="10"/>
  <c r="F7" i="10" s="1"/>
  <c r="L6" i="10"/>
  <c r="E15" i="10"/>
  <c r="O7" i="10"/>
  <c r="P7" i="10" s="1"/>
  <c r="P38" i="10"/>
  <c r="W7" i="10"/>
  <c r="X7" i="10" s="1"/>
  <c r="AB42" i="10"/>
  <c r="AB52" i="10"/>
  <c r="L15" i="10"/>
  <c r="S15" i="10"/>
  <c r="Y46" i="10"/>
  <c r="AA15" i="10"/>
  <c r="G15" i="10"/>
  <c r="G7" i="10"/>
  <c r="G19" i="10" s="1"/>
  <c r="O6" i="10"/>
  <c r="W6" i="10"/>
  <c r="O17" i="10"/>
  <c r="O45" i="10" s="1"/>
  <c r="U17" i="10" l="1"/>
  <c r="X6" i="10"/>
  <c r="W38" i="10" s="1"/>
  <c r="V17" i="10"/>
  <c r="V46" i="10" s="1"/>
  <c r="W13" i="10"/>
  <c r="U13" i="10"/>
  <c r="AA17" i="10"/>
  <c r="AA46" i="10" s="1"/>
  <c r="AB15" i="10"/>
  <c r="AB17" i="10" s="1"/>
  <c r="G27" i="10"/>
  <c r="G32" i="10"/>
  <c r="G24" i="10"/>
  <c r="G23" i="10"/>
  <c r="S17" i="10"/>
  <c r="T15" i="10"/>
  <c r="Q13" i="10"/>
  <c r="R13" i="10"/>
  <c r="G20" i="10"/>
  <c r="P6" i="10"/>
  <c r="O12" i="10"/>
  <c r="P12" i="10" s="1"/>
  <c r="P45" i="10" s="1"/>
  <c r="L32" i="10"/>
  <c r="L24" i="10"/>
  <c r="L23" i="10"/>
  <c r="L27" i="10"/>
  <c r="F15" i="10"/>
  <c r="D12" i="10" s="1"/>
  <c r="L19" i="10"/>
  <c r="L22" i="10" s="1"/>
  <c r="S13" i="10"/>
  <c r="K17" i="10"/>
  <c r="K6" i="10"/>
  <c r="H12" i="10" s="1"/>
  <c r="J17" i="10"/>
  <c r="W17" i="10"/>
  <c r="AB39" i="10"/>
  <c r="P39" i="10"/>
  <c r="P42" i="10" s="1"/>
  <c r="P52" i="10"/>
  <c r="L20" i="10"/>
  <c r="Q17" i="10"/>
  <c r="X17" i="10"/>
  <c r="L21" i="10" l="1"/>
  <c r="L30" i="10"/>
  <c r="W46" i="10"/>
  <c r="X38" i="10"/>
  <c r="P47" i="10"/>
  <c r="P48" i="10" s="1"/>
  <c r="P51" i="10" s="1"/>
  <c r="P53" i="10" s="1"/>
  <c r="E11" i="16" s="1"/>
  <c r="X13" i="10"/>
  <c r="U46" i="10"/>
  <c r="I17" i="10"/>
  <c r="I45" i="10" s="1"/>
  <c r="J38" i="10"/>
  <c r="T13" i="10"/>
  <c r="Q46" i="10"/>
  <c r="I12" i="10"/>
  <c r="H17" i="10"/>
  <c r="T17" i="10"/>
  <c r="R17" i="10"/>
  <c r="R46" i="10" s="1"/>
  <c r="V13" i="10"/>
  <c r="AB53" i="10"/>
  <c r="H11" i="16" s="1"/>
  <c r="AB46" i="10"/>
  <c r="J12" i="10"/>
  <c r="E38" i="10"/>
  <c r="E17" i="10"/>
  <c r="L26" i="10"/>
  <c r="L25" i="10" s="1"/>
  <c r="L28" i="10" s="1"/>
  <c r="L31" i="10"/>
  <c r="L29" i="10" s="1"/>
  <c r="L33" i="10" s="1"/>
  <c r="L34" i="10" s="1"/>
  <c r="F17" i="10"/>
  <c r="C17" i="10"/>
  <c r="E12" i="10"/>
  <c r="D17" i="10"/>
  <c r="D45" i="10" s="1"/>
  <c r="C12" i="10"/>
  <c r="G22" i="10"/>
  <c r="S38" i="10"/>
  <c r="F38" i="10" l="1"/>
  <c r="E45" i="10"/>
  <c r="AB48" i="10"/>
  <c r="AB51" i="10" s="1"/>
  <c r="AB47" i="10"/>
  <c r="G21" i="10"/>
  <c r="G26" i="10" s="1"/>
  <c r="G25" i="10" s="1"/>
  <c r="G28" i="10" s="1"/>
  <c r="G30" i="10"/>
  <c r="G31" i="10" s="1"/>
  <c r="G29" i="10" s="1"/>
  <c r="G33" i="10" s="1"/>
  <c r="G34" i="10" s="1"/>
  <c r="F12" i="10"/>
  <c r="C45" i="10"/>
  <c r="X53" i="10"/>
  <c r="G11" i="16" s="1"/>
  <c r="X39" i="10"/>
  <c r="X52" i="10"/>
  <c r="X46" i="10"/>
  <c r="X42" i="10"/>
  <c r="H45" i="10"/>
  <c r="K12" i="10"/>
  <c r="K38" i="10"/>
  <c r="J45" i="10"/>
  <c r="T38" i="10"/>
  <c r="S46" i="10"/>
  <c r="K53" i="10" l="1"/>
  <c r="D11" i="16" s="1"/>
  <c r="K39" i="10"/>
  <c r="K42" i="10"/>
  <c r="K45" i="10"/>
  <c r="K52" i="10"/>
  <c r="X47" i="10"/>
  <c r="X48" i="10"/>
  <c r="X51" i="10" s="1"/>
  <c r="T42" i="10"/>
  <c r="T52" i="10"/>
  <c r="T46" i="10"/>
  <c r="T53" i="10"/>
  <c r="F11" i="16" s="1"/>
  <c r="T39" i="10"/>
  <c r="F42" i="10"/>
  <c r="F52" i="10"/>
  <c r="F45" i="10"/>
  <c r="F53" i="10"/>
  <c r="C11" i="16" s="1"/>
  <c r="F39" i="10"/>
  <c r="K47" i="10" l="1"/>
  <c r="K48" i="10"/>
  <c r="K51" i="10" s="1"/>
  <c r="F48" i="10"/>
  <c r="F51" i="10" s="1"/>
  <c r="F47" i="10"/>
  <c r="T48" i="10"/>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<sst xmlns="http://schemas.openxmlformats.org/spreadsheetml/2006/main" count="572" uniqueCount="511">
  <si>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</si>
  <si>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</si>
  <si>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</si>
  <si>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</si>
  <si>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</si>
  <si>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</si>
  <si>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</si>
  <si>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</si>
  <si>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</si>
  <si>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</si>
  <si>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</si>
  <si>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</si>
  <si>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</si>
  <si>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</si>
  <si>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</si>
  <si>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</si>
  <si>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</si>
  <si>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</si>
  <si>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</si>
  <si>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</si>
  <si>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</si>
  <si>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</si>
  <si>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</si>
  <si>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</si>
  <si>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</si>
  <si>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</si>
  <si>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</si>
  <si>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</si>
  <si>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</si>
  <si>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</si>
  <si>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</si>
  <si>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</si>
  <si>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</si>
  <si>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</si>
  <si>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</si>
  <si>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</si>
  <si>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</si>
  <si>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</si>
  <si>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</si>
  <si>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</si>
  <si>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</si>
  <si>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</si>
  <si>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</si>
  <si>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</si>
  <si>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</si>
  <si>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</si>
  <si>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</si>
  <si>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</si>
  <si>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</si>
  <si>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</si>
  <si>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</si>
  <si>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</si>
  <si>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</si>
  <si>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</si>
  <si>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</si>
  <si>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</si>
  <si>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</si>
  <si>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</si>
  <si>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</si>
  <si>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</si>
  <si>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</si>
  <si>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</si>
  <si>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</si>
  <si>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</si>
  <si>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</si>
  <si>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</si>
  <si>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</si>
  <si>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</si>
  <si>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</si>
  <si>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</si>
  <si>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</si>
  <si>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</si>
  <si>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</si>
  <si>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</si>
  <si>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</si>
  <si>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</si>
  <si>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</si>
  <si>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</si>
  <si>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</si>
  <si>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</si>
  <si>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</si>
  <si>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</si>
  <si>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</si>
  <si>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</si>
  <si>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</si>
  <si>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</si>
  <si>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</si>
  <si>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</si>
  <si>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</si>
  <si>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</si>
  <si>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</si>
  <si>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</si>
  <si>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</si>
  <si>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</si>
  <si>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</si>
  <si>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</si>
  <si>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</si>
  <si>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</si>
  <si>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</si>
  <si>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</si>
  <si>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</si>
  <si>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</si>
  <si>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</si>
  <si>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</si>
  <si>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</si>
  <si>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</si>
  <si>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</si>
  <si>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</si>
  <si>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</si>
  <si>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</si>
  <si>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</si>
  <si>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</si>
  <si>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</si>
  <si>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</si>
  <si>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</si>
  <si>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</si>
  <si>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</si>
  <si>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</si>
  <si>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</si>
  <si>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</si>
  <si>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</si>
  <si>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</si>
  <si>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</si>
  <si>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</si>
  <si>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</si>
  <si>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</si>
  <si>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</si>
  <si>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</si>
  <si>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</si>
  <si>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</si>
  <si>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</si>
  <si>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</si>
  <si>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</si>
  <si>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</si>
  <si>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</si>
  <si>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</si>
  <si>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</si>
  <si>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</si>
  <si>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</si>
  <si>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</si>
  <si>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</si>
  <si>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</si>
  <si>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</si>
  <si>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</si>
  <si>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</si>
  <si>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</si>
  <si>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</si>
  <si>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</si>
  <si>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</si>
  <si>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</si>
  <si>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</si>
  <si>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</si>
  <si>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</si>
  <si>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</si>
  <si>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</si>
  <si>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</si>
  <si>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</si>
  <si>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</si>
  <si>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</si>
  <si>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</si>
  <si>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</si>
  <si>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</si>
  <si>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</si>
  <si>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</si>
  <si>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</si>
  <si>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</si>
  <si>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</si>
  <si>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</si>
  <si>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</si>
  <si>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</si>
  <si>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</si>
  <si>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</si>
  <si>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</si>
  <si>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</si>
  <si>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</si>
  <si>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</si>
  <si>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</si>
  <si>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</si>
  <si>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</si>
  <si>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</si>
  <si>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</si>
  <si>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</si>
  <si>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</si>
  <si>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</si>
  <si>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</si>
  <si>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</si>
  <si>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</si>
  <si>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</si>
  <si>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</si>
  <si>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</si>
  <si>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</si>
  <si>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</si>
  <si>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</si>
  <si>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</si>
  <si>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</si>
  <si>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</si>
  <si>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</si>
  <si>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</si>
  <si>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</si>
  <si>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</si>
  <si>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</si>
  <si>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</si>
  <si>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</si>
  <si>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</si>
  <si>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</si>
  <si>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</si>
  <si>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</si>
  <si>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</si>
  <si>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</si>
  <si>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</si>
  <si>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</si>
  <si>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</si>
  <si>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</si>
  <si>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</si>
  <si>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</si>
  <si>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</si>
  <si>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</si>
  <si>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</si>
  <si>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</si>
  <si>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</si>
  <si>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</si>
  <si>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</si>
  <si>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</si>
  <si>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</si>
  <si>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</si>
  <si>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</si>
  <si>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</si>
  <si>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</si>
  <si>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</si>
  <si>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</si>
  <si>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</si>
  <si>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</si>
  <si>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</si>
  <si>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</si>
  <si>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</si>
  <si>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</si>
  <si>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</si>
  <si>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</si>
  <si>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</si>
  <si>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</si>
  <si>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</si>
  <si>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</si>
  <si>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</si>
  <si>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</si>
  <si>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</si>
  <si>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</si>
  <si>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</si>
  <si>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</si>
  <si>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</si>
  <si>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</si>
  <si>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</si>
  <si>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</si>
  <si>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</si>
  <si>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</si>
  <si>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</si>
  <si>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</si>
  <si>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</si>
  <si>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</si>
  <si>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</si>
  <si>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</si>
  <si>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</si>
  <si>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</si>
  <si>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</si>
  <si>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</si>
  <si>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</si>
  <si>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</si>
  <si>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</si>
  <si>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</si>
  <si>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</si>
  <si>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</si>
  <si>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</si>
  <si>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</si>
  <si>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</si>
  <si>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</si>
  <si>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</si>
  <si>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</si>
  <si>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</si>
  <si>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</si>
  <si>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</si>
  <si>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</si>
  <si>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</si>
  <si>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</si>
  <si>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</si>
  <si>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</si>
  <si>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</si>
  <si>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</si>
  <si>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</si>
  <si>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</si>
  <si>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</si>
  <si>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</si>
  <si>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</si>
  <si>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</si>
  <si>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</si>
  <si>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</si>
  <si>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</si>
  <si>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</si>
  <si>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</si>
  <si>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</si>
  <si>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</si>
  <si>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</si>
  <si>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</si>
  <si>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</si>
  <si>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</si>
  <si>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</si>
  <si>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</si>
  <si>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</si>
  <si>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</si>
  <si>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</si>
  <si>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</si>
  <si>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</si>
  <si>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</si>
  <si>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</si>
  <si>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</si>
  <si>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</si>
  <si>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</si>
  <si>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</si>
  <si>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</si>
  <si>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</si>
  <si>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</si>
  <si>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</si>
  <si>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</si>
  <si>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</si>
  <si>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</si>
  <si>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</si>
  <si>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</si>
  <si>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</si>
  <si>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</si>
  <si>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</si>
  <si>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</si>
  <si>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</si>
  <si>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</si>
  <si>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</si>
  <si>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</si>
  <si>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</si>
  <si>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</si>
  <si>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</si>
  <si>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</si>
  <si>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</si>
  <si>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</si>
  <si>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</si>
  <si>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</si>
  <si>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</si>
  <si>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</si>
  <si>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</si>
  <si>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</si>
  <si>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</si>
  <si>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</si>
  <si>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</si>
  <si>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</si>
  <si>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</si>
  <si>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</si>
  <si>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</si>
  <si>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</si>
  <si>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</si>
  <si>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</si>
  <si>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</si>
  <si>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</si>
  <si>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</si>
  <si>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</si>
  <si>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</si>
  <si>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</si>
  <si>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</si>
  <si>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</si>
  <si>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</si>
  <si>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</si>
  <si>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</si>
  <si>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</si>
  <si>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</si>
  <si>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</si>
  <si>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</si>
  <si>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</si>
  <si>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</si>
  <si>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</si>
  <si>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</si>
  <si>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</si>
  <si>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</si>
  <si>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</si>
  <si>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</si>
  <si>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</si>
  <si>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</si>
  <si>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</si>
  <si>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</si>
  <si>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</si>
  <si>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</si>
  <si>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</si>
  <si>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</si>
  <si>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</si>
  <si>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</si>
  <si>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</si>
  <si>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</si>
  <si>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</si>
  <si>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</si>
  <si>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</si>
  <si>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</si>
  <si>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</si>
  <si>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</si>
  <si>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</si>
  <si>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</si>
  <si>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</si>
  <si>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</si>
  <si>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</si>
  <si>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</si>
  <si>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</si>
  <si>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</si>
  <si>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</si>
  <si>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</si>
  <si>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</si>
  <si>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</si>
  <si>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</si>
  <si>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</si>
  <si>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</si>
  <si>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</si>
  <si>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</si>
  <si>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</si>
  <si>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</si>
  <si>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</si>
  <si>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</si>
  <si>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</si>
  <si>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</si>
  <si>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</si>
  <si>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</si>
  <si>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</si>
  <si>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</si>
  <si>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</si>
  <si>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</si>
  <si>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</si>
  <si>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</si>
  <si>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</si>
  <si>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</si>
  <si>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</si>
  <si>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</si>
  <si>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</si>
  <si>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</si>
  <si>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</si>
  <si>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</si>
  <si>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</si>
  <si>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</si>
  <si>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</si>
  <si>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</si>
  <si>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</si>
  <si>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</si>
  <si>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</si>
  <si>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</si>
  <si>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</si>
  <si>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</si>
  <si>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</si>
  <si>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</si>
  <si>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</si>
  <si>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</si>
  <si>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</si>
  <si>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</si>
  <si>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</si>
  <si>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</si>
  <si>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</si>
  <si>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</si>
  <si>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</si>
  <si>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</si>
  <si>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</si>
  <si>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</si>
  <si>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</si>
  <si>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</si>
  <si>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</si>
  <si>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</si>
  <si>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</si>
  <si>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</si>
  <si>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</si>
  <si>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</si>
  <si>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</si>
  <si>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</si>
  <si>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</si>
  <si>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</si>
  <si>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</si>
  <si>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</si>
  <si>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</si>
  <si>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</si>
  <si>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</si>
  <si>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</si>
  <si>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</si>
  <si>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</si>
  <si>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</si>
  <si>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</si>
  <si>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</si>
  <si>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</si>
  <si>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</si>
  <si>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</si>
  <si>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</si>
  <si>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</si>
  <si>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</si>
  <si>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</si>
  <si>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</si>
  <si>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</si>
  <si>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</si>
  <si>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</si>
  <si>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</si>
  <si>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</si>
  <si>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</si>
  <si>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</si>
  <si>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</si>
  <si>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</si>
  <si>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</si>
  <si>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</si>
  <si>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</si>
  <si>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</si>
  <si>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</si>
  <si>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</si>
  <si>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18804</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</si>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</sst>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-1930</v>
      </c>
      <c r="Q5" s="219">
        <f>SUM('Pt 2 Premium and Claims'!Q$5,'Pt 2 Premium and Claims'!Q$6,-'Pt 2 Premium and Claims'!Q$7,-'Pt 2 Premium and Claims'!Q$13,'Pt 2 Premium and Claims'!Q$14)</f>
        <v>-177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-1901</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67620</v>
      </c>
      <c r="Q12" s="219">
        <f>'Pt 2 Premium and Claims'!Q$54</f>
        <v>-1346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53</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-23933</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204</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v>
      </c>
      <c r="Q14" s="223">
        <v>515</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42</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-16</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49</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41644</v>
      </c>
      <c r="Q25" s="223">
        <v>41644</v>
      </c>
      <c r="R25" s="223"/>
      <c r="S25" s="223"/>
      <c r="T25" s="223"/>
      <c r="U25" s="222">
        <v>0</v>
      </c>
      <c r="V25" s="223">
        <v>0</v>
      </c>
      <c r="W25" s="223"/>
      <c r="X25" s="222">
        <v>0</v>
      </c>
      <c r="Y25" s="223">
        <v>0</v>
      </c>
      <c r="Z25" s="223"/>
      <c r="AA25" s="222">
        <v>-25</v>
      </c>
      <c r="AB25" s="223">
        <v>-25</v>
      </c>
      <c r="AC25" s="223"/>
      <c r="AD25" s="222"/>
      <c r="AE25" s="276"/>
      <c r="AF25" s="276"/>
      <c r="AG25" s="276"/>
      <c r="AH25" s="279"/>
      <c r="AI25" s="222"/>
      <c r="AJ25" s="276"/>
      <c r="AK25" s="276"/>
      <c r="AL25" s="276"/>
      <c r="AM25" s="279"/>
      <c r="AN25" s="222"/>
      <c r="AO25" s="223"/>
      <c r="AP25" s="223"/>
      <c r="AQ25" s="223"/>
      <c r="AR25" s="223"/>
      <c r="AS25" s="222">
        <v>0</v>
      </c>
      <c r="AT25" s="226">
        <v>2173</v>
      </c>
      <c r="AU25" s="226">
        <v>0</v>
      </c>
      <c r="AV25" s="226">
        <v>-1574</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-9</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-1</v>
      </c>
      <c r="Q30" s="223">
        <v>-1</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-16</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-1</v>
      </c>
      <c r="Q31" s="223">
        <v>-1</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13</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13</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-4</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922</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-13</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9</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-28</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v>
      </c>
      <c r="Q47" s="223">
        <v>-2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-364</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-3266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-53139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-1005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-1740</v>
      </c>
      <c r="Q5" s="332">
        <v>13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-1895</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-187</v>
      </c>
      <c r="Q6" s="325">
        <v>-187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3</v>
      </c>
      <c r="Q13" s="325">
        <v>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56121</v>
      </c>
      <c r="Q23" s="368"/>
      <c r="R23" s="368"/>
      <c r="S23" s="368"/>
      <c r="T23" s="368"/>
      <c r="U23" s="324">
        <v>0</v>
      </c>
      <c r="V23" s="368"/>
      <c r="W23" s="368"/>
      <c r="X23" s="324">
        <v>0</v>
      </c>
      <c r="Y23" s="368"/>
      <c r="Z23" s="368"/>
      <c r="AA23" s="324">
        <v>53</v>
      </c>
      <c r="AB23" s="368"/>
      <c r="AC23" s="368"/>
      <c r="AD23" s="324"/>
      <c r="AE23" s="368"/>
      <c r="AF23" s="368"/>
      <c r="AG23" s="368"/>
      <c r="AH23" s="368"/>
      <c r="AI23" s="324"/>
      <c r="AJ23" s="368"/>
      <c r="AK23" s="368"/>
      <c r="AL23" s="368"/>
      <c r="AM23" s="368"/>
      <c r="AN23" s="324"/>
      <c r="AO23" s="368"/>
      <c r="AP23" s="368"/>
      <c r="AQ23" s="368"/>
      <c r="AR23" s="368"/>
      <c r="AS23" s="324">
        <v>0</v>
      </c>
      <c r="AT23" s="327">
        <v>-8245</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-1391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-149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-112</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-20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-10874</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-337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-3</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26650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-8</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42563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-66</v>
      </c>
      <c r="Q36" s="325">
        <v>-66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23</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727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67620</v>
      </c>
      <c r="Q54" s="329">
        <f>Q24+Q27+Q31+Q35-Q36+Q39+Q42+Q45+Q46-Q49+Q51+Q52+Q53</f>
        <v>-1346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53</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-23933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-22</v>
      </c>
      <c r="D6" s="404">
        <v>-845</v>
      </c>
      <c r="E6" s="406">
        <f>SUM('Pt 1 Summary of Data'!E$12,'Pt 1 Summary of Data'!E$22)+SUM('Pt 1 Summary of Data'!G$12,'Pt 1 Summary of Data'!G$22)-SUM('Pt 1 Summary of Data'!H$12,'Pt 1 Summary of Data'!H$22)</f>
        <v>0</v>
      </c>
      <c r="F6" s="406">
        <f>SUM(C6:E6)</f>
        <v>-867</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32718292</v>
      </c>
      <c r="N6" s="404">
        <v>-298687</v>
      </c>
      <c r="O6" s="406">
        <f>SUM('Pt 1 Summary of Data'!Q$12,'Pt 1 Summary of Data'!Q$22)+SUM('Pt 1 Summary of Data'!S$12,'Pt 1 Summary of Data'!S$22)-SUM('Pt 1 Summary of Data'!T$12,'Pt 1 Summary of Data'!T$22)</f>
        <v>-1346</v>
      </c>
      <c r="P6" s="406">
        <f>SUM(M6:O6)</f>
        <v>32418259</v>
      </c>
      <c r="Q6" s="403">
        <v>0</v>
      </c>
      <c r="R6" s="404">
        <v>0</v>
      </c>
      <c r="S6" s="406">
        <f>SUM('Pt 1 Summary of Data'!V$12,'Pt 1 Summary of Data'!V$22)</f>
        <v>0</v>
      </c>
      <c r="T6" s="406">
        <f>SUM(Q6:S6)</f>
        <v>0</v>
      </c>
      <c r="U6" s="403">
        <v>0</v>
      </c>
      <c r="V6" s="404">
        <v>0</v>
      </c>
      <c r="W6" s="406">
        <f>SUM('Pt 1 Summary of Data'!Y$12,'Pt 1 Summary of Data'!Y$22)</f>
        <v>0</v>
      </c>
      <c r="X6" s="406">
        <f>SUM(U6:W6)</f>
        <v>0</v>
      </c>
      <c r="Y6" s="403">
        <v>8168</v>
      </c>
      <c r="Z6" s="404">
        <v>0</v>
      </c>
      <c r="AA6" s="406">
        <f>SUM('Pt 1 Summary of Data'!AB$12,'Pt 1 Summary of Data'!AB$22)</f>
        <v>0</v>
      </c>
      <c r="AB6" s="406">
        <f>SUM(Y6:AA6)</f>
        <v>8168</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201769</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201769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-22</v>
      </c>
      <c r="D12" s="406">
        <f>SUM(D$6:D$7) - SUM(D$8:D$11)+IF(AND(OR('Company Information'!$C$12="District of Columbia",'Company Information'!$C$12="Massachusetts",'Company Information'!$C$12="Vermont"),SUM($C$6:$F$11,$C$15:$F$16,$C$38:$D$38)&lt;&gt;0),SUM(I$6:I$7) - SUM(I$10:I$11),0)</f>
        <v>-845</v>
      </c>
      <c r="E12" s="406">
        <f>SUM(E$6:E$7)-SUM(E$8:E$11)+IF(AND(OR('Company Information'!$C$12="District of Columbia",'Company Information'!$C$12="Massachusetts",'Company Information'!$C$12="Vermont"),SUM($C$6:$F$11,$C$15:$F$16,$C$38:$D$38)&lt;&gt;0),SUM(J$6:J$7)-SUM(J$10:J$11),0)</f>
        <v>0</v>
      </c>
      <c r="F12" s="406">
        <f>IFERROR(SUM(C$12:E$12)+C$17*MAX(0,E$50-C$50)+D$17*MAX(0,E$50-D$50),0)</f>
        <v>-867</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32920061</v>
      </c>
      <c r="N12" s="406">
        <f>SUM(N$6:N$7)</f>
        <v>-298687</v>
      </c>
      <c r="O12" s="406">
        <f>SUM(O$6:O$7)</f>
        <v>-1346</v>
      </c>
      <c r="P12" s="406">
        <f>SUM(M$12:O$12)+M$17*MAX(0,O$50-M$50)+N$17*MAX(0,O$50-N$50)</f>
        <v>32620028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12252</v>
      </c>
      <c r="Z13" s="406">
        <f>1.25*SUM(Z$6:Z$7)</f>
        <v>0</v>
      </c>
      <c r="AA13" s="406">
        <f>SUM(AA$6:AA$7)</f>
        <v>0</v>
      </c>
      <c r="AB13" s="406">
        <f>SUM(AB$6:AB$7)+Y$17*MAX(0,AA$50-Y$50)+Z$17*MAX(0,AA$50-Z$50)</f>
        <v>8168</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43621649</v>
      </c>
      <c r="N15" s="409">
        <v>-4</v>
      </c>
      <c r="O15" s="401">
        <f>SUM('Pt 1 Summary of Data'!Q$5:Q$7)+SUM('Pt 1 Summary of Data'!S$5:S$7)-SUM('Pt 1 Summary of Data'!T$5:T$7)+N$56</f>
        <v>-177</v>
      </c>
      <c r="P15" s="401">
        <f>SUM(M15:O15)</f>
        <v>43621468</v>
      </c>
      <c r="Q15" s="408">
        <v>0</v>
      </c>
      <c r="R15" s="409">
        <v>0</v>
      </c>
      <c r="S15" s="401">
        <f>SUM('Pt 1 Summary of Data'!V$5:V$7)+R$56</f>
        <v>0</v>
      </c>
      <c r="T15" s="401">
        <f>SUM(Q15:S15)</f>
        <v>0</v>
      </c>
      <c r="U15" s="408">
        <v>0</v>
      </c>
      <c r="V15" s="409">
        <v>0</v>
      </c>
      <c r="W15" s="401">
        <f>SUM('Pt 1 Summary of Data'!Y$5:Y$7)+V$56</f>
        <v>0</v>
      </c>
      <c r="X15" s="401">
        <f>SUM(U15:W15)</f>
        <v>0</v>
      </c>
      <c r="Y15" s="408">
        <v>23605</v>
      </c>
      <c r="Z15" s="409">
        <v>0</v>
      </c>
      <c r="AA15" s="401">
        <f>SUM('Pt 1 Summary of Data'!AB$5:AB$7)+Z$56</f>
        <v>0</v>
      </c>
      <c r="AB15" s="401">
        <f>SUM(Y15:AA15)</f>
        <v>23605</v>
      </c>
      <c r="AC15" s="461"/>
      <c r="AD15" s="460"/>
      <c r="AE15" s="460"/>
      <c r="AF15" s="460"/>
      <c r="AG15" s="461"/>
      <c r="AH15" s="460"/>
      <c r="AI15" s="460"/>
      <c r="AJ15" s="460"/>
      <c r="AK15" s="408"/>
      <c r="AL15" s="409"/>
      <c r="AM15" s="401"/>
      <c r="AN15" s="437"/>
    </row>
    <row r="16" spans="1:40" x14ac:dyDescent="0.2">
      <c r="B16" s="421" t="s">
        <v>311</v>
      </c>
      <c r="C16" s="403">
        <v>413</v>
      </c>
      <c r="D16" s="404">
        <v>-156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257</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2711520</v>
      </c>
      <c r="N16" s="404">
        <v>-279813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41642</v>
      </c>
      <c r="P16" s="406">
        <f>SUM(M16:O16)</f>
        <v>2473349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3648</v>
      </c>
      <c r="Z16" s="404">
        <v>-246</v>
      </c>
      <c r="AA16" s="406">
        <f>SUM('Pt 1 Summary of Data'!AB$25:AB$28,'Pt 1 Summary of Data'!AB$30,'Pt 1 Summary of Data'!AB$34:AB$35)+IF('Company Information'!$C$15="No",IF(MAX('Pt 1 Summary of Data'!AB$31:AB$32)=0,MIN('Pt 1 Summary of Data'!AB$31:AB$32),MAX('Pt 1 Summary of Data'!AB$31:AB$32)),SUM('Pt 1 Summary of Data'!AB$31:AB$32))+Z$57</f>
        <v>-25</v>
      </c>
      <c r="AB16" s="406">
        <f>SUM(Y16:AA16)</f>
        <v>3377</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-413</v>
      </c>
      <c r="D17" s="406">
        <f>D$15-D$16+IF(AND(OR('Company Information'!$C$12="District of Columbia",'Company Information'!$C$12="Massachusetts",'Company Information'!$C$12="Vermont"),SUM($C$6:$F$11,$C$15:$F$16,$C$38:$D$38)&lt;&gt;0),I$15-I$16,0)</f>
        <v>156</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-257</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40910129</v>
      </c>
      <c r="N17" s="406">
        <f>N$15-N$16</f>
        <v>279809</v>
      </c>
      <c r="O17" s="406">
        <f>O$15-O$16</f>
        <v>-41819</v>
      </c>
      <c r="P17" s="406">
        <f>P$15-P$16</f>
        <v>41148119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19957</v>
      </c>
      <c r="Z17" s="406">
        <f>Z$15-Z$16</f>
        <v>246</v>
      </c>
      <c r="AA17" s="406">
        <f>AA$15-AA$16</f>
        <v>25</v>
      </c>
      <c r="AB17" s="406">
        <f>AB$15-AB$16</f>
        <v>20228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7838.7166999999999</v>
      </c>
      <c r="N38" s="411">
        <v>0</v>
      </c>
      <c r="O38" s="438">
        <f>('Pt 1 Summary of Data'!Q$59+'Pt 1 Summary of Data'!S$59-'Pt 1 Summary of Data'!T$59)/12</f>
        <v>0</v>
      </c>
      <c r="P38" s="438">
        <f>SUM(M$38:O$38)</f>
        <v>7838.7166999999999</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23.333300000000001</v>
      </c>
      <c r="Z38" s="411">
        <v>0</v>
      </c>
      <c r="AA38" s="438">
        <f>'Pt 1 Summary of Data'!AB$59/12</f>
        <v>0</v>
      </c>
      <c r="AB38" s="438">
        <f>SUM(Y$38:AA$38)</f>
        <v>23.333300000000001</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3.0754823259999998E-2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3.0754823259999998E-2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0.80469218271103471</v>
      </c>
      <c r="N45" s="442" t="str">
        <f>IF(OR(N$38&lt;1000,N$17&lt;=0),"",N$12/N$17)</f>
        <v/>
      </c>
      <c r="O45" s="442" t="str">
        <f>IF(OR(O$38&lt;1000,O$17&lt;=0),"",O$12/O$17)</f>
        <v/>
      </c>
      <c r="P45" s="442">
        <f>IF(OR(P$38&lt;1000,P$17&lt;=0),"",P$12/P$17)</f>
        <v>0.79274651655401307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3.0754823259999998E-2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0.82399999999999995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0.82399999999999995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