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44" i="10"/>
  <c r="M17" i="10"/>
  <c r="M12" i="10"/>
  <c r="L35" i="10"/>
  <c r="J11" i="10" s="1"/>
  <c r="K11" i="10" s="1"/>
  <c r="L34" i="10"/>
  <c r="L22" i="10"/>
  <c r="L16" i="10"/>
  <c r="L10" i="10"/>
  <c r="L15" i="10" s="1"/>
  <c r="K49" i="10"/>
  <c r="K40" i="10"/>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22" i="4" s="1"/>
  <c r="Y36" i="18"/>
  <c r="Y35" i="18"/>
  <c r="Y54" i="18" s="1"/>
  <c r="Y12" i="4"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4" s="1"/>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F37" i="10" l="1"/>
  <c r="L29" i="10"/>
  <c r="L21" i="10"/>
  <c r="L28" i="10"/>
  <c r="L24" i="10"/>
  <c r="E15" i="10"/>
  <c r="G29" i="10"/>
  <c r="G28" i="10"/>
  <c r="P15" i="10"/>
  <c r="P17" i="10" s="1"/>
  <c r="O17" i="10"/>
  <c r="O44" i="10"/>
  <c r="P37" i="10"/>
  <c r="AB37" i="10"/>
  <c r="G20" i="10"/>
  <c r="L20" i="10"/>
  <c r="L19" i="10"/>
  <c r="X37" i="10"/>
  <c r="J6" i="10"/>
  <c r="W6" i="10"/>
  <c r="T6" i="10"/>
  <c r="R17" i="10" s="1"/>
  <c r="R45" i="10" s="1"/>
  <c r="Q13" i="10"/>
  <c r="K37" i="10"/>
  <c r="F6" i="10"/>
  <c r="P6" i="10"/>
  <c r="AB13" i="10"/>
  <c r="J15" i="10"/>
  <c r="T15" i="10"/>
  <c r="T37" i="10"/>
  <c r="AA13" i="10"/>
  <c r="AB6" i="10"/>
  <c r="L25" i="10"/>
  <c r="J7" i="10"/>
  <c r="K7" i="10" s="1"/>
  <c r="S7" i="10"/>
  <c r="T7" i="10" s="1"/>
  <c r="AA15" i="10"/>
  <c r="E7" i="10"/>
  <c r="F7" i="10" s="1"/>
  <c r="O7" i="10"/>
  <c r="P7" i="10" s="1"/>
  <c r="W15" i="10"/>
  <c r="G7" i="10"/>
  <c r="G21" i="10" s="1"/>
  <c r="L23" i="10" l="1"/>
  <c r="T51" i="10"/>
  <c r="T52" i="10" s="1"/>
  <c r="F11" i="16" s="1"/>
  <c r="T46" i="10"/>
  <c r="T38" i="10"/>
  <c r="T41" i="10"/>
  <c r="K15" i="10"/>
  <c r="K17" i="10" s="1"/>
  <c r="K44" i="10" s="1"/>
  <c r="K47" i="10" s="1"/>
  <c r="K50" i="10" s="1"/>
  <c r="J17" i="10"/>
  <c r="J44" i="10" s="1"/>
  <c r="R13" i="10"/>
  <c r="Q17" i="10"/>
  <c r="X41" i="10"/>
  <c r="X51" i="10"/>
  <c r="X52" i="10" s="1"/>
  <c r="G11" i="16" s="1"/>
  <c r="X46" i="10"/>
  <c r="X38" i="10"/>
  <c r="X45" i="10"/>
  <c r="X47" i="10" s="1"/>
  <c r="X50" i="10" s="1"/>
  <c r="G19" i="10"/>
  <c r="G24" i="10" s="1"/>
  <c r="P51" i="10"/>
  <c r="P52" i="10" s="1"/>
  <c r="E11" i="16" s="1"/>
  <c r="P46" i="10"/>
  <c r="P38" i="10"/>
  <c r="P44" i="10"/>
  <c r="P47" i="10" s="1"/>
  <c r="P50" i="10" s="1"/>
  <c r="P41" i="10"/>
  <c r="G25" i="10"/>
  <c r="AA17" i="10"/>
  <c r="AA45" i="10" s="1"/>
  <c r="AB15" i="10"/>
  <c r="AB17" i="10" s="1"/>
  <c r="S17" i="10"/>
  <c r="S45" i="10" s="1"/>
  <c r="V13" i="10"/>
  <c r="X6" i="10"/>
  <c r="U17" i="10" s="1"/>
  <c r="V17" i="10"/>
  <c r="V45" i="10" s="1"/>
  <c r="F51" i="10"/>
  <c r="F52" i="10" s="1"/>
  <c r="C11" i="16" s="1"/>
  <c r="F46" i="10"/>
  <c r="F41" i="10"/>
  <c r="X15" i="10"/>
  <c r="X17" i="10" s="1"/>
  <c r="T17" i="10"/>
  <c r="T45" i="10" s="1"/>
  <c r="T47" i="10" s="1"/>
  <c r="T50" i="10" s="1"/>
  <c r="O12" i="10"/>
  <c r="P12" i="10" s="1"/>
  <c r="K51" i="10"/>
  <c r="K52" i="10" s="1"/>
  <c r="D11" i="16" s="1"/>
  <c r="K46" i="10"/>
  <c r="K41" i="10"/>
  <c r="S13" i="10"/>
  <c r="J12" i="10"/>
  <c r="K6" i="10"/>
  <c r="I17" i="10"/>
  <c r="I44" i="10" s="1"/>
  <c r="H12" i="10"/>
  <c r="L27" i="10"/>
  <c r="AB45" i="10"/>
  <c r="AB47" i="10" s="1"/>
  <c r="AB50" i="10" s="1"/>
  <c r="AB41" i="10"/>
  <c r="AB51" i="10"/>
  <c r="AB52" i="10" s="1"/>
  <c r="H11" i="16" s="1"/>
  <c r="AB46" i="10"/>
  <c r="AB38" i="10"/>
  <c r="F15" i="10"/>
  <c r="F17" i="10" s="1"/>
  <c r="F44" i="10" s="1"/>
  <c r="F47" i="10" s="1"/>
  <c r="F50" i="10" s="1"/>
  <c r="U45" i="10" l="1"/>
  <c r="X13" i="10"/>
  <c r="C17" i="10"/>
  <c r="D17" i="10"/>
  <c r="D44" i="10" s="1"/>
  <c r="D12" i="10"/>
  <c r="L31" i="10"/>
  <c r="L32" i="10" s="1"/>
  <c r="L33" i="10" s="1"/>
  <c r="L26" i="10"/>
  <c r="L30" i="10" s="1"/>
  <c r="W17" i="10"/>
  <c r="W45" i="10" s="1"/>
  <c r="W13" i="10"/>
  <c r="C12" i="10"/>
  <c r="Q45" i="10"/>
  <c r="T13" i="10"/>
  <c r="E17" i="10"/>
  <c r="E44" i="10" s="1"/>
  <c r="I12" i="10"/>
  <c r="H17" i="10"/>
  <c r="U13" i="10"/>
  <c r="G23" i="10"/>
  <c r="G27" i="10" s="1"/>
  <c r="E12" i="10"/>
  <c r="H44" i="10" l="1"/>
  <c r="K38" i="10" s="1"/>
  <c r="K12" i="10"/>
  <c r="F12" i="10"/>
  <c r="C44" i="10"/>
  <c r="F38" i="10" s="1"/>
  <c r="G26" i="10"/>
  <c r="G30" i="10" s="1"/>
  <c r="G31" i="10"/>
  <c r="G32" i="10" s="1"/>
  <c r="G33"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<sst xmlns="http://schemas.openxmlformats.org/spreadsheetml/2006/main" count="570" uniqueCount="508">
  <si>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</si>
  <si>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</si>
  <si>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</si>
  <si>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</si>
  <si>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</si>
  <si>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</si>
  <si>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</si>
  <si>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</si>
  <si>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</si>
  <si>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</si>
  <si>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</si>
  <si>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</si>
  <si>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</si>
  <si>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</si>
  <si>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</si>
  <si>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</si>
  <si>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</si>
  <si>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</si>
  <si>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</si>
  <si>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</si>
  <si>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</si>
  <si>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</si>
  <si>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</si>
  <si>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</si>
  <si>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</si>
  <si>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</si>
  <si>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</si>
  <si>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</si>
  <si>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</si>
  <si>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</si>
  <si>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</si>
  <si>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</si>
  <si>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</si>
  <si>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</si>
  <si>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</si>
  <si>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</si>
  <si>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</si>
  <si>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</si>
  <si>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</si>
  <si>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</si>
  <si>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</si>
  <si>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</si>
  <si>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</si>
  <si>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</si>
  <si>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</si>
  <si>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</si>
  <si>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</si>
  <si>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</si>
  <si>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</si>
  <si>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</si>
  <si>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</si>
  <si>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</si>
  <si>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</si>
  <si>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</si>
  <si>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</si>
  <si>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</si>
  <si>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</si>
  <si>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</si>
  <si>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</si>
  <si>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</si>
  <si>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</si>
  <si>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</si>
  <si>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</si>
  <si>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</si>
  <si>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</si>
  <si>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</si>
  <si>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</si>
  <si>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</si>
  <si>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</si>
  <si>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</si>
  <si>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</si>
  <si>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</si>
  <si>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</si>
  <si>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</si>
  <si>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</si>
  <si>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</si>
  <si>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</si>
  <si>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</si>
  <si>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</si>
  <si>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</si>
  <si>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</si>
  <si>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</si>
  <si>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</si>
  <si>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</si>
  <si>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</si>
  <si>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</si>
  <si>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</si>
  <si>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</si>
  <si>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</si>
  <si>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</si>
  <si>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</si>
  <si>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</si>
  <si>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</si>
  <si>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</si>
  <si>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</si>
  <si>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</si>
  <si>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</si>
  <si>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</si>
  <si>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</si>
  <si>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</si>
  <si>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</si>
  <si>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</si>
  <si>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</si>
  <si>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</si>
  <si>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</si>
  <si>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</si>
  <si>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</si>
  <si>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</si>
  <si>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</si>
  <si>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</si>
  <si>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</si>
  <si>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</si>
  <si>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</si>
  <si>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</si>
  <si>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</si>
  <si>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</si>
  <si>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</si>
  <si>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</si>
  <si>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</si>
  <si>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</si>
  <si>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</si>
  <si>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</si>
  <si>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</si>
  <si>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</si>
  <si>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</si>
  <si>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</si>
  <si>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</si>
  <si>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</si>
  <si>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</si>
  <si>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</si>
  <si>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</si>
  <si>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</si>
  <si>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</si>
  <si>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</si>
  <si>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</si>
  <si>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</si>
  <si>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</si>
  <si>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</si>
  <si>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</si>
  <si>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</si>
  <si>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</si>
  <si>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</si>
  <si>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</si>
  <si>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</si>
  <si>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</si>
  <si>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</si>
  <si>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</si>
  <si>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</si>
  <si>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</si>
  <si>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</si>
  <si>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</si>
  <si>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</si>
  <si>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</si>
  <si>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</si>
  <si>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</si>
  <si>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</si>
  <si>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</si>
  <si>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</si>
  <si>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</si>
  <si>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</si>
  <si>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</si>
  <si>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</si>
  <si>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</si>
  <si>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</si>
  <si>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</si>
  <si>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</si>
  <si>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</si>
  <si>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</si>
  <si>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</si>
  <si>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</si>
  <si>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</si>
  <si>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</si>
  <si>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</si>
  <si>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</si>
  <si>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</si>
  <si>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</si>
  <si>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</si>
  <si>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</si>
  <si>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</si>
  <si>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</si>
  <si>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</si>
  <si>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</si>
  <si>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</si>
  <si>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</si>
  <si>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</si>
  <si>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</si>
  <si>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</si>
  <si>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</si>
  <si>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</si>
  <si>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</si>
  <si>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</si>
  <si>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</si>
  <si>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</si>
  <si>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</si>
  <si>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</si>
  <si>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</si>
  <si>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</si>
  <si>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</si>
  <si>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</si>
  <si>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</si>
  <si>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</si>
  <si>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</si>
  <si>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</si>
  <si>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</si>
  <si>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</si>
  <si>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</si>
  <si>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</si>
  <si>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</si>
  <si>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</si>
  <si>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</si>
  <si>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</si>
  <si>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</si>
  <si>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</si>
  <si>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</si>
  <si>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</si>
  <si>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</si>
  <si>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</si>
  <si>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</si>
  <si>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</si>
  <si>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</si>
  <si>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</si>
  <si>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</si>
  <si>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</si>
  <si>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</si>
  <si>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</si>
  <si>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</si>
  <si>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</si>
  <si>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</si>
  <si>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</si>
  <si>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</si>
  <si>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</si>
  <si>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</si>
  <si>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</si>
  <si>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</si>
  <si>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</si>
  <si>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</si>
  <si>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</si>
  <si>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</si>
  <si>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</si>
  <si>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</si>
  <si>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</si>
  <si>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</si>
  <si>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</si>
  <si>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</si>
  <si>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</si>
  <si>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</si>
  <si>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</si>
  <si>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</si>
  <si>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</si>
  <si>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</si>
  <si>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</si>
  <si>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</si>
  <si>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</si>
  <si>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</si>
  <si>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</si>
  <si>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</si>
  <si>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</si>
  <si>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</si>
  <si>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</si>
  <si>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</si>
  <si>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</si>
  <si>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</si>
  <si>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</si>
  <si>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</si>
  <si>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</si>
  <si>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</si>
  <si>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</si>
  <si>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</si>
  <si>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</si>
  <si>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</si>
  <si>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</si>
  <si>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</si>
  <si>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</si>
  <si>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</si>
  <si>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</si>
  <si>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</si>
  <si>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</si>
  <si>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</si>
  <si>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</si>
  <si>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</si>
  <si>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</si>
  <si>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</si>
  <si>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</si>
  <si>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</si>
  <si>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</si>
  <si>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</si>
  <si>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</si>
  <si>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</si>
  <si>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</si>
  <si>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</si>
  <si>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</si>
  <si>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</si>
  <si>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</si>
  <si>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</si>
  <si>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</si>
  <si>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</si>
  <si>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</si>
  <si>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</si>
  <si>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</si>
  <si>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</si>
  <si>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</si>
  <si>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</si>
  <si>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</si>
  <si>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</si>
  <si>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</si>
  <si>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</si>
  <si>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</si>
  <si>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</si>
  <si>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</si>
  <si>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</si>
  <si>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</si>
  <si>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</si>
  <si>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</si>
  <si>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</si>
  <si>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</si>
  <si>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</si>
  <si>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</si>
  <si>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</si>
  <si>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</si>
  <si>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</si>
  <si>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</si>
  <si>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</si>
  <si>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</si>
  <si>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</si>
  <si>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</si>
  <si>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</si>
  <si>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</si>
  <si>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</si>
  <si>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</si>
  <si>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</si>
  <si>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</si>
  <si>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</si>
  <si>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</si>
  <si>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</si>
  <si>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</si>
  <si>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</si>
  <si>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</si>
  <si>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</si>
  <si>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</si>
  <si>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</si>
  <si>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</si>
  <si>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</si>
  <si>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</si>
  <si>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</si>
  <si>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</si>
  <si>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</si>
  <si>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</si>
  <si>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</si>
  <si>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</si>
  <si>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</si>
  <si>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</si>
  <si>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</si>
  <si>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</si>
  <si>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</si>
  <si>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</si>
  <si>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</si>
  <si>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</si>
  <si>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</si>
  <si>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</si>
  <si>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</si>
  <si>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</si>
  <si>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</si>
  <si>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</si>
  <si>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</si>
  <si>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</si>
  <si>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</si>
  <si>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</si>
  <si>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</si>
  <si>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</si>
  <si>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</si>
  <si>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</si>
  <si>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</si>
  <si>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</si>
  <si>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</si>
  <si>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</si>
  <si>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</si>
  <si>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</si>
  <si>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</si>
  <si>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</si>
  <si>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</si>
  <si>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</si>
  <si>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</si>
  <si>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</si>
  <si>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</si>
  <si>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</si>
  <si>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</si>
  <si>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</si>
  <si>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</si>
  <si>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</si>
  <si>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</si>
  <si>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</si>
  <si>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</si>
  <si>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</si>
  <si>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</si>
  <si>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</si>
  <si>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</si>
  <si>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</si>
  <si>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</si>
  <si>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</si>
  <si>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</si>
  <si>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</si>
  <si>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</si>
  <si>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</si>
  <si>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</si>
  <si>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</si>
  <si>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</si>
  <si>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</si>
  <si>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</si>
  <si>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</si>
  <si>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</si>
  <si>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</si>
  <si>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</si>
  <si>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</si>
  <si>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</si>
  <si>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</si>
  <si>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</si>
  <si>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</si>
  <si>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</si>
  <si>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</si>
  <si>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</si>
  <si>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</si>
  <si>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</si>
  <si>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</si>
  <si>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</si>
  <si>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</si>
  <si>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</si>
  <si>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</si>
  <si>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</si>
  <si>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</si>
  <si>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</si>
  <si>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</si>
  <si>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</si>
  <si>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</si>
  <si>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</si>
  <si>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</si>
  <si>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</si>
  <si>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</si>
  <si>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</si>
  <si>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</si>
  <si>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</si>
  <si>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</si>
  <si>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</si>
  <si>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</si>
  <si>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</si>
  <si>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</si>
  <si>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</si>
  <si>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</si>
  <si>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</si>
  <si>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</si>
  <si>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</si>
  <si>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</si>
  <si>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</si>
  <si>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</si>
  <si>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</si>
  <si>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</si>
  <si>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</si>
  <si>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</si>
  <si>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</si>
  <si>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</si>
  <si>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</si>
  <si>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</si>
  <si>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</si>
  <si>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</si>
  <si>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</si>
  <si>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</si>
  <si>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</si>
  <si>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</si>
  <si>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</si>
  <si>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</si>
  <si>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</si>
  <si>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</si>
  <si>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</si>
  <si>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</si>
  <si>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</si>
  <si>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</si>
  <si>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</si>
  <si>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</si>
  <si>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</si>
  <si>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</si>
  <si>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</si>
  <si>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</si>
  <si>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</si>
  <si>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</si>
  <si>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</si>
  <si>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</si>
  <si>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</si>
  <si>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</si>
  <si>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</si>
  <si>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</si>
  <si>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</si>
  <si>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</si>
  <si>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</si>
  <si>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</si>
  <si>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</si>
  <si>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</si>
  <si>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</si>
  <si>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</si>
  <si>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</si>
  <si>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</si>
  <si>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</si>
  <si>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</si>
  <si>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</si>
  <si>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</si>
  <si>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80564</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</si>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</sst>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166</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8</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530538</v>
      </c>
      <c r="Q5" s="112">
        <f>'Pt 2 Premium and Claims'!Q5+'Pt 2 Premium and Claims'!Q6-'Pt 2 Premium and Claims'!Q7-'Pt 2 Premium and Claims'!Q13+'Pt 2 Premium and Claims'!Q14</f>
        <v>531386</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13772</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4134</v>
      </c>
      <c r="Q7" s="116">
        <f>P7</f>
        <v>4134</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110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8154</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-7376</v>
      </c>
      <c r="E12" s="112">
        <f>'Pt 2 Premium and Claims'!E54</f>
        <v>-7278</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386152</v>
      </c>
      <c r="Q12" s="112">
        <f>'Pt 2 Premium and Claims'!Q54</f>
        <v>175341</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-1538</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-140309</v>
      </c>
      <c r="AT12" s="113">
        <f>'Pt 2 Premium and Claims'!AT54</f>
        <v>-176098</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1039</v>
      </c>
      <c r="Q13" s="116">
        <v>1160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358021</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300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23</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-1788</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-1360</v>
      </c>
      <c r="E25" s="116">
        <f>D25</f>
        <v>-1360</v>
      </c>
      <c r="F25" s="116"/>
      <c r="G25" s="116"/>
      <c r="H25" s="116"/>
      <c r="I25" s="115">
        <v>0</v>
      </c>
      <c r="J25" s="115">
        <v>0</v>
      </c>
      <c r="K25" s="116">
        <f>J25</f>
        <v>0</v>
      </c>
      <c r="L25" s="116"/>
      <c r="M25" s="116"/>
      <c r="N25" s="116"/>
      <c r="O25" s="115">
        <v>0</v>
      </c>
      <c r="P25" s="115">
        <v>-15818</v>
      </c>
      <c r="Q25" s="116">
        <f>P25</f>
        <v>-15818</v>
      </c>
      <c r="R25" s="116"/>
      <c r="S25" s="116"/>
      <c r="T25" s="116"/>
      <c r="U25" s="115">
        <v>0</v>
      </c>
      <c r="V25" s="116">
        <f>U25</f>
        <v>0</v>
      </c>
      <c r="W25" s="116"/>
      <c r="X25" s="115">
        <v>0</v>
      </c>
      <c r="Y25" s="116">
        <f>X25</f>
        <v>0</v>
      </c>
      <c r="Z25" s="116"/>
      <c r="AA25" s="115">
        <v>-275</v>
      </c>
      <c r="AB25" s="116">
        <f>AA25</f>
        <v>-275</v>
      </c>
      <c r="AC25" s="116"/>
      <c r="AD25" s="115"/>
      <c r="AE25" s="297"/>
      <c r="AF25" s="297"/>
      <c r="AG25" s="297"/>
      <c r="AH25" s="300"/>
      <c r="AI25" s="115"/>
      <c r="AJ25" s="297"/>
      <c r="AK25" s="297"/>
      <c r="AL25" s="297"/>
      <c r="AM25" s="300"/>
      <c r="AN25" s="115"/>
      <c r="AO25" s="116"/>
      <c r="AP25" s="116"/>
      <c r="AQ25" s="116"/>
      <c r="AR25" s="116"/>
      <c r="AS25" s="115">
        <v>-25850</v>
      </c>
      <c r="AT25" s="119">
        <v>-34504</v>
      </c>
      <c r="AU25" s="119">
        <v>0</v>
      </c>
      <c r="AV25" s="119">
        <v>-11048</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530</v>
      </c>
      <c r="Q26" s="116">
        <f>P26</f>
        <v>530</v>
      </c>
      <c r="R26" s="116"/>
      <c r="S26" s="116"/>
      <c r="T26" s="116"/>
      <c r="U26" s="115">
        <v>0</v>
      </c>
      <c r="V26" s="116">
        <f>U26</f>
        <v>0</v>
      </c>
      <c r="W26" s="116"/>
      <c r="X26" s="115">
        <v>0</v>
      </c>
      <c r="Y26" s="116">
        <f>X26</f>
        <v>0</v>
      </c>
      <c r="Z26" s="116"/>
      <c r="AA26" s="115">
        <v>-2</v>
      </c>
      <c r="AB26" s="116">
        <f>AA26</f>
        <v>-2</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3902</v>
      </c>
      <c r="Q27" s="116">
        <f>P27</f>
        <v>3902</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662</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340</v>
      </c>
      <c r="Q28" s="116">
        <f>P28</f>
        <v>340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210</v>
      </c>
      <c r="AU28" s="119">
        <v>0</v>
      </c>
      <c r="AV28" s="119">
        <v>2880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1663</v>
      </c>
      <c r="Q30" s="116">
        <f>P30</f>
        <v>1663</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44</v>
      </c>
      <c r="AU30" s="119">
        <v>0</v>
      </c>
      <c r="AV30" s="119">
        <v>99</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10085</v>
      </c>
      <c r="Q31" s="116">
        <f>P31</f>
        <v>10085</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263</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21354</v>
      </c>
      <c r="Q34" s="116">
        <f>P34</f>
        <v>21354</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-36</v>
      </c>
      <c r="Q35" s="116">
        <f>P35</f>
        <v>-36</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-8</v>
      </c>
      <c r="AU35" s="119">
        <v>0</v>
      </c>
      <c r="AV35" s="119">
        <v>16</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152</v>
      </c>
      <c r="Q37" s="124">
        <v>152</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670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44</v>
      </c>
      <c r="Q38" s="116">
        <v>44</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303</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45</v>
      </c>
      <c r="Q39" s="116">
        <v>45</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64</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86</v>
      </c>
      <c r="Q40" s="116">
        <v>86</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97</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79</v>
      </c>
      <c r="Q41" s="116">
        <v>79</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1</v>
      </c>
      <c r="AU41" s="119">
        <v>0</v>
      </c>
      <c r="AV41" s="119">
        <v>1542</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10</v>
      </c>
      <c r="Q42" s="116">
        <f>P42</f>
        <v>10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282</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9108</v>
      </c>
      <c r="Q44" s="124">
        <v>9108</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-1</v>
      </c>
      <c r="AU44" s="125">
        <v>0</v>
      </c>
      <c r="AV44" s="125">
        <v>7767</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-308</v>
      </c>
      <c r="Q45" s="116">
        <f>P45</f>
        <v>-308</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-32</v>
      </c>
      <c r="AU45" s="119">
        <v>0</v>
      </c>
      <c r="AV45" s="119">
        <v>-257</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287</v>
      </c>
      <c r="Q46" s="116">
        <f>P46</f>
        <v>287</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44</v>
      </c>
      <c r="AU46" s="119">
        <v>0</v>
      </c>
      <c r="AV46" s="119">
        <v>4736</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8150</v>
      </c>
      <c r="Q47" s="116">
        <f>P47</f>
        <v>8150</v>
      </c>
      <c r="R47" s="116"/>
      <c r="S47" s="116"/>
      <c r="T47" s="116"/>
      <c r="U47" s="115">
        <v>0</v>
      </c>
      <c r="V47" s="116">
        <f>U47</f>
        <v>0</v>
      </c>
      <c r="W47" s="116"/>
      <c r="X47" s="115">
        <v>0</v>
      </c>
      <c r="Y47" s="116">
        <f>X47</f>
        <v>0</v>
      </c>
      <c r="Z47" s="116"/>
      <c r="AA47" s="115">
        <v>48</v>
      </c>
      <c r="AB47" s="116">
        <f>AA47</f>
        <v>48</v>
      </c>
      <c r="AC47" s="116"/>
      <c r="AD47" s="115"/>
      <c r="AE47" s="297"/>
      <c r="AF47" s="297"/>
      <c r="AG47" s="297"/>
      <c r="AH47" s="297"/>
      <c r="AI47" s="115"/>
      <c r="AJ47" s="297"/>
      <c r="AK47" s="297"/>
      <c r="AL47" s="297"/>
      <c r="AM47" s="297"/>
      <c r="AN47" s="115"/>
      <c r="AO47" s="116"/>
      <c r="AP47" s="116"/>
      <c r="AQ47" s="116"/>
      <c r="AR47" s="116"/>
      <c r="AS47" s="115">
        <v>0</v>
      </c>
      <c r="AT47" s="119">
        <v>211</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-95</v>
      </c>
      <c r="Q49" s="116">
        <f>P49</f>
        <v>-95</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-24</v>
      </c>
      <c r="AU49" s="119">
        <v>0</v>
      </c>
      <c r="AV49" s="119">
        <v>-70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90</v>
      </c>
      <c r="Q50" s="116">
        <f>P50</f>
        <v>90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34</v>
      </c>
      <c r="AU50" s="119">
        <v>0</v>
      </c>
      <c r="AV50" s="119">
        <v>-37</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11080</v>
      </c>
      <c r="Q51" s="116">
        <f>P51</f>
        <v>11080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11898</v>
      </c>
      <c r="AU51" s="119">
        <v>0</v>
      </c>
      <c r="AV51" s="119">
        <v>133347</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22</v>
      </c>
      <c r="Q53" s="116">
        <f>P53</f>
        <v>22</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31</v>
      </c>
      <c r="AU53" s="119">
        <v>0</v>
      </c>
      <c r="AV53" s="119">
        <v>331</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211407</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1007</v>
      </c>
      <c r="Q59" s="131">
        <v>1007</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2603</v>
      </c>
      <c r="AU59" s="132">
        <v>0</v>
      </c>
      <c r="AV59" s="132">
        <v>4102</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83.916666666666671</v>
      </c>
      <c r="Q60" s="134">
        <f>Q59/12</f>
        <v>83.916666666666671</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216.91666666666666</v>
      </c>
      <c r="AU60" s="135">
        <f>AU59/12</f>
        <v>0</v>
      </c>
      <c r="AV60" s="135">
        <f>AV59/12</f>
        <v>341.83333333333331</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262653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42961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8</v>
      </c>
      <c r="E5" s="124">
        <v>0</v>
      </c>
      <c r="F5" s="124"/>
      <c r="G5" s="136"/>
      <c r="H5" s="136"/>
      <c r="I5" s="123">
        <v>0</v>
      </c>
      <c r="J5" s="123">
        <v>0</v>
      </c>
      <c r="K5" s="124">
        <v>0</v>
      </c>
      <c r="L5" s="124"/>
      <c r="M5" s="124"/>
      <c r="N5" s="124"/>
      <c r="O5" s="123">
        <v>0</v>
      </c>
      <c r="P5" s="123">
        <v>530778</v>
      </c>
      <c r="Q5" s="124">
        <v>531073</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10581</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313</v>
      </c>
      <c r="Q6" s="116">
        <v>313</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3299</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553</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22</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-7177</v>
      </c>
      <c r="F11" s="116"/>
      <c r="G11" s="116"/>
      <c r="H11" s="116"/>
      <c r="I11" s="115">
        <f>0</f>
        <v>0</v>
      </c>
      <c r="J11" s="115">
        <f>J41</f>
        <v>0</v>
      </c>
      <c r="K11" s="116">
        <f>K42</f>
        <v>0</v>
      </c>
      <c r="L11" s="116"/>
      <c r="M11" s="116"/>
      <c r="N11" s="116"/>
      <c r="O11" s="115">
        <f>0</f>
        <v>0</v>
      </c>
      <c r="P11" s="115">
        <f>P41</f>
        <v>60575</v>
      </c>
      <c r="Q11" s="116">
        <f>Q42</f>
        <v>60575</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7177</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86</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530475</v>
      </c>
      <c r="Q23" s="294"/>
      <c r="R23" s="294"/>
      <c r="S23" s="294"/>
      <c r="T23" s="294"/>
      <c r="U23" s="115">
        <v>0</v>
      </c>
      <c r="V23" s="294"/>
      <c r="W23" s="294"/>
      <c r="X23" s="115">
        <v>0</v>
      </c>
      <c r="Y23" s="294"/>
      <c r="Z23" s="294"/>
      <c r="AA23" s="115">
        <v>3501</v>
      </c>
      <c r="AB23" s="294"/>
      <c r="AC23" s="294"/>
      <c r="AD23" s="115"/>
      <c r="AE23" s="294"/>
      <c r="AF23" s="294"/>
      <c r="AG23" s="294"/>
      <c r="AH23" s="294"/>
      <c r="AI23" s="115"/>
      <c r="AJ23" s="294"/>
      <c r="AK23" s="294"/>
      <c r="AL23" s="294"/>
      <c r="AM23" s="294"/>
      <c r="AN23" s="115"/>
      <c r="AO23" s="294"/>
      <c r="AP23" s="294"/>
      <c r="AQ23" s="294"/>
      <c r="AR23" s="294"/>
      <c r="AS23" s="115">
        <v>-3465556</v>
      </c>
      <c r="AT23" s="119">
        <v>63402</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273045</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v>
      </c>
      <c r="E26" s="294"/>
      <c r="F26" s="294"/>
      <c r="G26" s="294"/>
      <c r="H26" s="294"/>
      <c r="I26" s="298"/>
      <c r="J26" s="115">
        <v>0</v>
      </c>
      <c r="K26" s="294"/>
      <c r="L26" s="294"/>
      <c r="M26" s="294"/>
      <c r="N26" s="294"/>
      <c r="O26" s="298"/>
      <c r="P26" s="115">
        <v>147777</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870</v>
      </c>
      <c r="AU26" s="119">
        <v>0</v>
      </c>
      <c r="AV26" s="317"/>
      <c r="AW26" s="324"/>
    </row>
    <row r="27" spans="2:49" s="11" customFormat="1" ht="25.5" x14ac:dyDescent="0.2">
      <c r="B27" s="184" t="s">
        <v>85</v>
      </c>
      <c r="C27" s="139"/>
      <c r="D27" s="299"/>
      <c r="E27" s="116">
        <v>-24</v>
      </c>
      <c r="F27" s="116"/>
      <c r="G27" s="116"/>
      <c r="H27" s="116"/>
      <c r="I27" s="115">
        <v>0</v>
      </c>
      <c r="J27" s="299"/>
      <c r="K27" s="116">
        <v>0</v>
      </c>
      <c r="L27" s="116"/>
      <c r="M27" s="116"/>
      <c r="N27" s="116"/>
      <c r="O27" s="115">
        <v>0</v>
      </c>
      <c r="P27" s="299"/>
      <c r="Q27" s="116">
        <v>-157877</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112</v>
      </c>
      <c r="E28" s="295"/>
      <c r="F28" s="295"/>
      <c r="G28" s="295"/>
      <c r="H28" s="295"/>
      <c r="I28" s="299"/>
      <c r="J28" s="115">
        <v>0</v>
      </c>
      <c r="K28" s="295"/>
      <c r="L28" s="295"/>
      <c r="M28" s="295"/>
      <c r="N28" s="295"/>
      <c r="O28" s="299"/>
      <c r="P28" s="115">
        <v>360591</v>
      </c>
      <c r="Q28" s="295"/>
      <c r="R28" s="295"/>
      <c r="S28" s="295"/>
      <c r="T28" s="295"/>
      <c r="U28" s="115">
        <v>0</v>
      </c>
      <c r="V28" s="295"/>
      <c r="W28" s="295"/>
      <c r="X28" s="115">
        <v>0</v>
      </c>
      <c r="Y28" s="295"/>
      <c r="Z28" s="295"/>
      <c r="AA28" s="115">
        <v>5039</v>
      </c>
      <c r="AB28" s="295"/>
      <c r="AC28" s="295"/>
      <c r="AD28" s="115"/>
      <c r="AE28" s="294"/>
      <c r="AF28" s="294"/>
      <c r="AG28" s="294"/>
      <c r="AH28" s="294"/>
      <c r="AI28" s="115"/>
      <c r="AJ28" s="294"/>
      <c r="AK28" s="294"/>
      <c r="AL28" s="294"/>
      <c r="AM28" s="294"/>
      <c r="AN28" s="115"/>
      <c r="AO28" s="295"/>
      <c r="AP28" s="295"/>
      <c r="AQ28" s="295"/>
      <c r="AR28" s="295"/>
      <c r="AS28" s="115">
        <v>498330</v>
      </c>
      <c r="AT28" s="119">
        <v>74188</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24</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593653</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11</v>
      </c>
      <c r="E32" s="295"/>
      <c r="F32" s="295"/>
      <c r="G32" s="295"/>
      <c r="H32" s="295"/>
      <c r="I32" s="299"/>
      <c r="J32" s="115">
        <v>0</v>
      </c>
      <c r="K32" s="295"/>
      <c r="L32" s="295"/>
      <c r="M32" s="295"/>
      <c r="N32" s="295"/>
      <c r="O32" s="299"/>
      <c r="P32" s="115">
        <v>-2</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759835</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v>
      </c>
      <c r="E34" s="294"/>
      <c r="F34" s="294"/>
      <c r="G34" s="294"/>
      <c r="H34" s="294"/>
      <c r="I34" s="298"/>
      <c r="J34" s="115">
        <v>0</v>
      </c>
      <c r="K34" s="294"/>
      <c r="L34" s="294"/>
      <c r="M34" s="294"/>
      <c r="N34" s="294"/>
      <c r="O34" s="298"/>
      <c r="P34" s="115">
        <v>1324</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v>
      </c>
      <c r="F35" s="116"/>
      <c r="G35" s="116"/>
      <c r="H35" s="116"/>
      <c r="I35" s="115">
        <v>0</v>
      </c>
      <c r="J35" s="299"/>
      <c r="K35" s="116">
        <f>J34</f>
        <v>0</v>
      </c>
      <c r="L35" s="116"/>
      <c r="M35" s="116"/>
      <c r="N35" s="116"/>
      <c r="O35" s="115">
        <v>0</v>
      </c>
      <c r="P35" s="299"/>
      <c r="Q35" s="116">
        <f>P34</f>
        <v>1324</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78</v>
      </c>
      <c r="E36" s="116">
        <f>D36</f>
        <v>78</v>
      </c>
      <c r="F36" s="116"/>
      <c r="G36" s="116"/>
      <c r="H36" s="116"/>
      <c r="I36" s="115">
        <v>0</v>
      </c>
      <c r="J36" s="115">
        <v>0</v>
      </c>
      <c r="K36" s="116">
        <f>J36</f>
        <v>0</v>
      </c>
      <c r="L36" s="116"/>
      <c r="M36" s="116"/>
      <c r="N36" s="116"/>
      <c r="O36" s="115">
        <v>0</v>
      </c>
      <c r="P36" s="115">
        <v>1726</v>
      </c>
      <c r="Q36" s="116">
        <f>P36</f>
        <v>1726</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60575</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-7177</v>
      </c>
      <c r="F42" s="116"/>
      <c r="G42" s="116"/>
      <c r="H42" s="116"/>
      <c r="I42" s="115">
        <v>0</v>
      </c>
      <c r="J42" s="299"/>
      <c r="K42" s="116">
        <v>0</v>
      </c>
      <c r="L42" s="116"/>
      <c r="M42" s="116"/>
      <c r="N42" s="116"/>
      <c r="O42" s="115">
        <v>0</v>
      </c>
      <c r="P42" s="299"/>
      <c r="Q42" s="116">
        <v>60575</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7177</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8</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8300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3823577</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-7376</v>
      </c>
      <c r="E54" s="121">
        <f>E24+E27+E31+E35-E36+E39+E42+E45+E46-E49+E51+E52+E53</f>
        <v>-7278</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386152</v>
      </c>
      <c r="Q54" s="121">
        <f>Q24+Q27+Q31+Q35-Q36+Q39+Q42+Q45+Q46-Q49+Q51+Q52+Q53</f>
        <v>175341</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-1538</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-140309</v>
      </c>
      <c r="AT54" s="122">
        <f>AT23+AT26-AT28+AT30-AT32+AT34-AT36+AT38+AT41-AT43+AT45+AT46-AT47-AT49+AT50+AT51+AT52+AT53</f>
        <v>-176098</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11725.95</v>
      </c>
      <c r="D5" s="124">
        <v>-1197</v>
      </c>
      <c r="E5" s="352"/>
      <c r="F5" s="352"/>
      <c r="G5" s="318"/>
      <c r="H5" s="123">
        <v>0</v>
      </c>
      <c r="I5" s="124">
        <v>0</v>
      </c>
      <c r="J5" s="352"/>
      <c r="K5" s="352"/>
      <c r="L5" s="318"/>
      <c r="M5" s="123">
        <v>426360.12</v>
      </c>
      <c r="N5" s="124">
        <v>184501</v>
      </c>
      <c r="O5" s="352"/>
      <c r="P5" s="352"/>
      <c r="Q5" s="123">
        <v>0</v>
      </c>
      <c r="R5" s="124">
        <v>0</v>
      </c>
      <c r="S5" s="352"/>
      <c r="T5" s="352"/>
      <c r="U5" s="123">
        <v>0</v>
      </c>
      <c r="V5" s="124">
        <v>0</v>
      </c>
      <c r="W5" s="352"/>
      <c r="X5" s="352"/>
      <c r="Y5" s="123">
        <v>75520.88</v>
      </c>
      <c r="Z5" s="124">
        <v>42257</v>
      </c>
      <c r="AA5" s="352"/>
      <c r="AB5" s="352"/>
      <c r="AC5" s="353"/>
      <c r="AD5" s="352"/>
      <c r="AE5" s="352"/>
      <c r="AF5" s="352"/>
      <c r="AG5" s="353"/>
      <c r="AH5" s="352"/>
      <c r="AI5" s="352"/>
      <c r="AJ5" s="352"/>
      <c r="AK5" s="353"/>
      <c r="AL5" s="124"/>
      <c r="AM5" s="352"/>
      <c r="AN5" s="354"/>
    </row>
    <row r="6" spans="1:40" s="15" customFormat="1" ht="25.5" x14ac:dyDescent="0.2">
      <c r="A6" s="148"/>
      <c r="B6" s="197" t="s">
        <v>311</v>
      </c>
      <c r="C6" s="115">
        <v>11169</v>
      </c>
      <c r="D6" s="116">
        <v>-1197</v>
      </c>
      <c r="E6" s="121">
        <f>SUM('Pt 1 Summary of Data'!E$12,'Pt 1 Summary of Data'!E$22)+SUM('Pt 1 Summary of Data'!G$12,'Pt 1 Summary of Data'!G$22)-SUM('Pt 1 Summary of Data'!H$12,'Pt 1 Summary of Data'!H$22)</f>
        <v>-7278</v>
      </c>
      <c r="F6" s="121">
        <f>SUM(C6:E6)</f>
        <v>2694</v>
      </c>
      <c r="G6" s="122">
        <f>'Pt 1 Summary of Data'!I12+'Pt 1 Summary of Data'!I22</f>
        <v>0</v>
      </c>
      <c r="H6" s="115">
        <v>0</v>
      </c>
      <c r="I6" s="116">
        <v>0</v>
      </c>
      <c r="J6" s="121">
        <f>'Pt 1 Summary of Data'!K12+'Pt 1 Summary of Data'!K22</f>
        <v>0</v>
      </c>
      <c r="K6" s="121">
        <f>SUM(H6:J6)</f>
        <v>0</v>
      </c>
      <c r="L6" s="122">
        <f>'Pt 1 Summary of Data'!O12+'Pt 1 Summary of Data'!O22</f>
        <v>0</v>
      </c>
      <c r="M6" s="115">
        <v>427995</v>
      </c>
      <c r="N6" s="116">
        <v>364771</v>
      </c>
      <c r="O6" s="121">
        <f>'Pt 1 Summary of Data'!Q12+'Pt 1 Summary of Data'!Q22</f>
        <v>175341</v>
      </c>
      <c r="P6" s="121">
        <f>SUM(M6:O6)</f>
        <v>968107</v>
      </c>
      <c r="Q6" s="115">
        <v>0</v>
      </c>
      <c r="R6" s="116">
        <v>0</v>
      </c>
      <c r="S6" s="121">
        <f>'Pt 1 Summary of Data'!V12+'Pt 1 Summary of Data'!V22</f>
        <v>0</v>
      </c>
      <c r="T6" s="121">
        <f>SUM(Q6:S6)</f>
        <v>0</v>
      </c>
      <c r="U6" s="115">
        <v>0</v>
      </c>
      <c r="V6" s="116">
        <v>0</v>
      </c>
      <c r="W6" s="121">
        <f>'Pt 1 Summary of Data'!Y12+'Pt 1 Summary of Data'!Y22</f>
        <v>0</v>
      </c>
      <c r="X6" s="121">
        <f>SUM(U6:W6)</f>
        <v>0</v>
      </c>
      <c r="Y6" s="115">
        <v>71817</v>
      </c>
      <c r="Z6" s="116">
        <v>42257</v>
      </c>
      <c r="AA6" s="121">
        <f>'Pt 1 Summary of Data'!AB12+'Pt 1 Summary of Data'!AB22</f>
        <v>0</v>
      </c>
      <c r="AB6" s="121">
        <f>SUM(Y6:AA6)</f>
        <v>114074</v>
      </c>
      <c r="AC6" s="298"/>
      <c r="AD6" s="294"/>
      <c r="AE6" s="294"/>
      <c r="AF6" s="294"/>
      <c r="AG6" s="298"/>
      <c r="AH6" s="294"/>
      <c r="AI6" s="294"/>
      <c r="AJ6" s="294"/>
      <c r="AK6" s="298"/>
      <c r="AL6" s="116"/>
      <c r="AM6" s="121"/>
      <c r="AN6" s="259"/>
    </row>
    <row r="7" spans="1:40" x14ac:dyDescent="0.2">
      <c r="B7" s="197" t="s">
        <v>312</v>
      </c>
      <c r="C7" s="115">
        <v>120</v>
      </c>
      <c r="D7" s="116">
        <v>0</v>
      </c>
      <c r="E7" s="121">
        <f>SUM('Pt 1 Summary of Data'!E37:E41)+MAX(0,MIN('Pt 1 Summary of Data'!E42,0.3%*('Pt 1 Summary of Data'!E5-SUM(E9:E11))))</f>
        <v>0</v>
      </c>
      <c r="F7" s="121">
        <f>SUM(C7:E7)</f>
        <v>120</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6110</v>
      </c>
      <c r="N7" s="116">
        <v>3564</v>
      </c>
      <c r="O7" s="121">
        <f>SUM('Pt 1 Summary of Data'!Q37:Q41)+MAX(0,MIN('Pt 1 Summary of Data'!Q42,0.3%*('Pt 1 Summary of Data'!Q5)))</f>
        <v>416</v>
      </c>
      <c r="P7" s="121">
        <f>SUM(M7:O7)</f>
        <v>10090</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11289</v>
      </c>
      <c r="D12" s="121">
        <f>SUM(D$6:D$7)+IF(AND(OR('Company Information'!$C$12="District of Columbia",'Company Information'!$C$12="Massachusetts",'Company Information'!$C$12="Vermont"),SUM($C$6:$F$11,$C$15:$F$16,$C$37:$D$37)&lt;&gt;0),SUM(I$6:I$7),0)</f>
        <v>-1197</v>
      </c>
      <c r="E12" s="121">
        <f>SUM(E$6:E$7)-SUM(E$8:E$11)+IF(AND(OR('Company Information'!$C$12="District of Columbia",'Company Information'!$C$12="Massachusetts",'Company Information'!$C$12="Vermont"),SUM($C$6:$F$11,$C$15:$F$16,$C$37:$D$37)&lt;&gt;0),SUM(J$6:J$7)-SUM(J$10:J$11),0)</f>
        <v>-7278</v>
      </c>
      <c r="F12" s="121">
        <f>IFERROR(SUM(C$12:E$12)+C$17*MAX(0,E$49-C$49)+D$17*MAX(0,E$49-D$49),0)</f>
        <v>2814</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434105</v>
      </c>
      <c r="N12" s="121">
        <f>SUM(N$6:N$7)</f>
        <v>368335</v>
      </c>
      <c r="O12" s="121">
        <f>SUM(O$6:O$7)</f>
        <v>175757</v>
      </c>
      <c r="P12" s="121">
        <f>SUM(M$12:O$12)+M$17*MAX(0,O$49-M$49)+N$17*MAX(0,O$49-N$49)</f>
        <v>978197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125679.75</v>
      </c>
      <c r="Z13" s="121">
        <f>1.5*SUM(Z$6:Z$7)</f>
        <v>63385.5</v>
      </c>
      <c r="AA13" s="121">
        <f>1.25*SUM(AA$6:AA$7)</f>
        <v>0</v>
      </c>
      <c r="AB13" s="121">
        <f>1.25*(SUM(AB$6:AB$7)+Y$17*MAX(0,AA$49-Y$49)+Z$17*MAX(0,AA$49-Z$49))</f>
        <v>142592.5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11847</v>
      </c>
      <c r="D15" s="124">
        <v>0</v>
      </c>
      <c r="E15" s="112">
        <f>SUM('Pt 1 Summary of Data'!E$5:E$7)+SUM('Pt 1 Summary of Data'!G$5:G$7)-SUM('Pt 1 Summary of Data'!H$5:H$7)-SUM(E$9:E$11)+D$55</f>
        <v>0</v>
      </c>
      <c r="F15" s="112">
        <f>SUM(C15:E15)</f>
        <v>11847</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905981</v>
      </c>
      <c r="N15" s="124">
        <v>538732</v>
      </c>
      <c r="O15" s="112">
        <f>SUM('Pt 1 Summary of Data'!Q5:Q7)+N55</f>
        <v>548680</v>
      </c>
      <c r="P15" s="112">
        <f>SUM(M15:O15)</f>
        <v>1993393</v>
      </c>
      <c r="Q15" s="123">
        <v>0</v>
      </c>
      <c r="R15" s="124">
        <v>0</v>
      </c>
      <c r="S15" s="112">
        <f>SUM('Pt 1 Summary of Data'!V5:V7)+R55</f>
        <v>0</v>
      </c>
      <c r="T15" s="112">
        <f>SUM(Q15:S15)</f>
        <v>0</v>
      </c>
      <c r="U15" s="123">
        <v>0</v>
      </c>
      <c r="V15" s="124">
        <v>0</v>
      </c>
      <c r="W15" s="112">
        <f>SUM('Pt 1 Summary of Data'!Y5:Y7)+V55</f>
        <v>0</v>
      </c>
      <c r="X15" s="112">
        <f>SUM(U15:W15)</f>
        <v>0</v>
      </c>
      <c r="Y15" s="123">
        <v>129622</v>
      </c>
      <c r="Z15" s="124">
        <v>70340</v>
      </c>
      <c r="AA15" s="112">
        <f>SUM('Pt 1 Summary of Data'!AB5:AB7)+Z55</f>
        <v>0</v>
      </c>
      <c r="AB15" s="112">
        <f>SUM(Y15:AA15)</f>
        <v>199962</v>
      </c>
      <c r="AC15" s="353"/>
      <c r="AD15" s="352"/>
      <c r="AE15" s="352"/>
      <c r="AF15" s="352"/>
      <c r="AG15" s="353"/>
      <c r="AH15" s="352"/>
      <c r="AI15" s="352"/>
      <c r="AJ15" s="352"/>
      <c r="AK15" s="353"/>
      <c r="AL15" s="124"/>
      <c r="AM15" s="112"/>
      <c r="AN15" s="260"/>
    </row>
    <row r="16" spans="1:40" x14ac:dyDescent="0.2">
      <c r="B16" s="197" t="s">
        <v>313</v>
      </c>
      <c r="C16" s="115">
        <v>-1723</v>
      </c>
      <c r="D16" s="116">
        <v>5546</v>
      </c>
      <c r="E16" s="121">
        <f>'Pt 1 Summary of Data'!E25+'Pt 1 Summary of Data'!E26+'Pt 1 Summary of Data'!E27+'Pt 1 Summary of Data'!E28+'Pt 1 Summary of Data'!E30+'Pt 1 Summary of Data'!E31+'Pt 1 Summary of Data'!E34+'Pt 1 Summary of Data'!E35+'Pt 3 MLR and Rebate Calculation'!D56</f>
        <v>-1360</v>
      </c>
      <c r="F16" s="121">
        <f>SUM(C16:E16)</f>
        <v>2463</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371979</v>
      </c>
      <c r="N16" s="116">
        <v>267482</v>
      </c>
      <c r="O16" s="121">
        <f>'Pt 1 Summary of Data'!Q25+'Pt 1 Summary of Data'!Q26+'Pt 1 Summary of Data'!Q27+'Pt 1 Summary of Data'!Q28+'Pt 1 Summary of Data'!Q30+'Pt 1 Summary of Data'!Q31+'Pt 1 Summary of Data'!Q34+'Pt 1 Summary of Data'!Q35+'Pt 3 MLR and Rebate Calculation'!N56</f>
        <v>27482</v>
      </c>
      <c r="P16" s="121">
        <f>SUM(M16:O16)</f>
        <v>666943</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10695</v>
      </c>
      <c r="Z16" s="116">
        <v>7862</v>
      </c>
      <c r="AA16" s="121">
        <f>'Pt 1 Summary of Data'!AB25+'Pt 1 Summary of Data'!AB26+'Pt 1 Summary of Data'!AB27+'Pt 1 Summary of Data'!AB28+'Pt 1 Summary of Data'!AB30+'Pt 1 Summary of Data'!AB31+'Pt 1 Summary of Data'!AB34+'Pt 1 Summary of Data'!AB35+'Pt 3 MLR and Rebate Calculation'!Z56</f>
        <v>-277</v>
      </c>
      <c r="AB16" s="121">
        <f>SUM(Y16:AA16)</f>
        <v>18280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13570</v>
      </c>
      <c r="D17" s="121">
        <f>D$15-D$16+IF(AND(OR('Company Information'!$C$12="District of Columbia",'Company Information'!$C$12="Massachusetts",'Company Information'!$C$12="Vermont"),SUM($C$6:$F$11,$C$15:$F$16,$C$37:$D$37)&lt;&gt;0),I$15-I$16,0)</f>
        <v>-5546</v>
      </c>
      <c r="E17" s="121">
        <f>E$15-E$16+IF(AND(OR('Company Information'!$C$12="District of Columbia",'Company Information'!$C$12="Massachusetts",'Company Information'!$C$12="Vermont"),SUM($C$6:$F$11,$C$15:$F$16,$C$37:$D$37)&lt;&gt;0),J$15-J$16,0)</f>
        <v>1360</v>
      </c>
      <c r="F17" s="121">
        <f>F$15-F$16+IF(AND(OR('Company Information'!$C$12="District of Columbia",'Company Information'!$C$12="Massachusetts",'Company Information'!$C$12="Vermont"),SUM($C$6:$F$11,$C$15:$F$16,$C$37:$D$37)&lt;&gt;0),K$15-K$16,0)</f>
        <v>9384</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534002</v>
      </c>
      <c r="N17" s="121">
        <f>N$15-N$16</f>
        <v>271250</v>
      </c>
      <c r="O17" s="121">
        <f>O$15-O$16</f>
        <v>521198</v>
      </c>
      <c r="P17" s="121">
        <f>P$15-P$16</f>
        <v>1326450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118927</v>
      </c>
      <c r="Z17" s="121">
        <f>Z$15-Z$16</f>
        <v>62478</v>
      </c>
      <c r="AA17" s="121">
        <f>AA$15-AA$16</f>
        <v>277</v>
      </c>
      <c r="AB17" s="121">
        <f>AB$15-AB$16</f>
        <v>181682</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0</v>
      </c>
      <c r="E37" s="262">
        <f>'Pt 1 Summary of Data'!E60</f>
        <v>0</v>
      </c>
      <c r="F37" s="262">
        <f>SUM(C37:E37)</f>
        <v>1</v>
      </c>
      <c r="G37" s="318"/>
      <c r="H37" s="127">
        <v>0</v>
      </c>
      <c r="I37" s="128">
        <v>0</v>
      </c>
      <c r="J37" s="262">
        <f>'Pt 1 Summary of Data'!K60</f>
        <v>0</v>
      </c>
      <c r="K37" s="262">
        <f>SUM(H37:J37)</f>
        <v>0</v>
      </c>
      <c r="L37" s="318"/>
      <c r="M37" s="127">
        <v>196</v>
      </c>
      <c r="N37" s="128">
        <v>194</v>
      </c>
      <c r="O37" s="262">
        <f>'Pt 1 Summary of Data'!Q60</f>
        <v>83.916666666666671</v>
      </c>
      <c r="P37" s="262">
        <f>SUM(M37:O37)</f>
        <v>473.91666666666669</v>
      </c>
      <c r="Q37" s="127">
        <v>0</v>
      </c>
      <c r="R37" s="128">
        <v>0</v>
      </c>
      <c r="S37" s="262">
        <f>'Pt 1 Summary of Data'!V60</f>
        <v>0</v>
      </c>
      <c r="T37" s="262">
        <f>SUM(Q37:S37)</f>
        <v>0</v>
      </c>
      <c r="U37" s="127">
        <v>0</v>
      </c>
      <c r="V37" s="128">
        <v>0</v>
      </c>
      <c r="W37" s="262">
        <f>'Pt 1 Summary of Data'!Y60</f>
        <v>0</v>
      </c>
      <c r="X37" s="262">
        <f>SUM(U37:W37)</f>
        <v>0</v>
      </c>
      <c r="Y37" s="127">
        <v>156</v>
      </c>
      <c r="Z37" s="128">
        <v>80</v>
      </c>
      <c r="AA37" s="262">
        <f>'Pt 1 Summary of Data'!AB60</f>
        <v>0</v>
      </c>
      <c r="AB37" s="262">
        <f>SUM(Y37:AA37)</f>
        <v>236</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13160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5462</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2015-07-29T17:49:28Z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