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46" i="10" s="1"/>
  <c r="Y13" i="10"/>
  <c r="X41" i="10"/>
  <c r="W16" i="10"/>
  <c r="X16" i="10" s="1"/>
  <c r="T41" i="10"/>
  <c r="T15" i="10"/>
  <c r="S16" i="10"/>
  <c r="T16" i="10" s="1"/>
  <c r="S15" i="10"/>
  <c r="P41" i="10"/>
  <c r="O38" i="10"/>
  <c r="P38" i="10" s="1"/>
  <c r="O17" i="10"/>
  <c r="O45" i="10" s="1"/>
  <c r="O16" i="10"/>
  <c r="P16" i="10" s="1"/>
  <c r="P17" i="10" s="1"/>
  <c r="N17" i="10"/>
  <c r="N12" i="10"/>
  <c r="N45" i="10" s="1"/>
  <c r="M17" i="10"/>
  <c r="M12" i="10"/>
  <c r="L60" i="10"/>
  <c r="L58" i="10" s="1"/>
  <c r="L19" i="10" s="1"/>
  <c r="L59" i="10"/>
  <c r="L36" i="10"/>
  <c r="L35" i="10"/>
  <c r="L16" i="10"/>
  <c r="L10" i="10"/>
  <c r="L7" i="10"/>
  <c r="K41" i="10"/>
  <c r="J16" i="10"/>
  <c r="K16" i="10" s="1"/>
  <c r="J11" i="10"/>
  <c r="K11" i="10" s="1"/>
  <c r="J10" i="10"/>
  <c r="K10" i="10" s="1"/>
  <c r="G60" i="10"/>
  <c r="G59" i="10"/>
  <c r="G58" i="10"/>
  <c r="G19" i="10" s="1"/>
  <c r="G36" i="10"/>
  <c r="G35" i="10"/>
  <c r="G16" i="10"/>
  <c r="G15" i="10"/>
  <c r="G10" i="10"/>
  <c r="G9" i="10"/>
  <c r="G8" i="10"/>
  <c r="G7" i="10"/>
  <c r="F41" i="10"/>
  <c r="F11" i="10"/>
  <c r="E16" i="10"/>
  <c r="F16" i="10" s="1"/>
  <c r="E11" i="10"/>
  <c r="E15" i="10" s="1"/>
  <c r="E10" i="10"/>
  <c r="F10" i="10" s="1"/>
  <c r="E9" i="10"/>
  <c r="F9" i="10" s="1"/>
  <c r="E8" i="10"/>
  <c r="F8" i="10" s="1"/>
  <c r="E7" i="10"/>
  <c r="F7" i="10" s="1"/>
  <c r="AU55" i="18"/>
  <c r="AU54" i="18"/>
  <c r="AT55" i="18"/>
  <c r="AT54" i="18"/>
  <c r="AS55" i="18"/>
  <c r="AS54" i="18"/>
  <c r="AC55" i="18"/>
  <c r="AC54" i="18"/>
  <c r="AB55" i="18"/>
  <c r="AB54" i="18"/>
  <c r="AA55" i="18"/>
  <c r="AA54" i="18"/>
  <c r="Z55" i="18"/>
  <c r="Z54" i="18"/>
  <c r="Y55" i="18"/>
  <c r="Y54" i="18"/>
  <c r="X55" i="18"/>
  <c r="X54" i="18"/>
  <c r="W55" i="18"/>
  <c r="W54" i="18"/>
  <c r="V55" i="18"/>
  <c r="V54" i="18"/>
  <c r="U55" i="18"/>
  <c r="U54" i="18"/>
  <c r="T55" i="18"/>
  <c r="T54" i="18"/>
  <c r="S55" i="18"/>
  <c r="S54" i="18"/>
  <c r="R55" i="18"/>
  <c r="R54" i="18"/>
  <c r="Q55" i="18"/>
  <c r="Q54" i="18"/>
  <c r="P55" i="18"/>
  <c r="P54" i="18"/>
  <c r="O55" i="18"/>
  <c r="O54" i="18"/>
  <c r="N55" i="18"/>
  <c r="N54" i="18"/>
  <c r="M55" i="18"/>
  <c r="M54" i="18"/>
  <c r="L55" i="18"/>
  <c r="L54" i="18"/>
  <c r="K55" i="18"/>
  <c r="K54" i="18"/>
  <c r="J55" i="18"/>
  <c r="J54" i="18"/>
  <c r="I55" i="18"/>
  <c r="I54" i="18"/>
  <c r="H55" i="18"/>
  <c r="H54" i="18"/>
  <c r="G55" i="18"/>
  <c r="G54" i="18"/>
  <c r="F55" i="18"/>
  <c r="F54" i="18"/>
  <c r="E55" i="18"/>
  <c r="E54" i="18"/>
  <c r="D55" i="18"/>
  <c r="D54" i="18"/>
  <c r="AV60" i="4"/>
  <c r="AU60" i="4"/>
  <c r="AU22" i="4"/>
  <c r="AU12" i="4"/>
  <c r="AU5" i="4"/>
  <c r="AT60" i="4"/>
  <c r="AT22" i="4"/>
  <c r="AT12" i="4"/>
  <c r="AT5" i="4"/>
  <c r="AS60" i="4"/>
  <c r="AS22" i="4"/>
  <c r="AS12" i="4"/>
  <c r="AS5" i="4"/>
  <c r="AC60" i="4"/>
  <c r="AC22" i="4"/>
  <c r="AC12" i="4"/>
  <c r="AC5" i="4"/>
  <c r="AB60" i="4"/>
  <c r="AB22" i="4"/>
  <c r="AB12" i="4"/>
  <c r="AA6" i="10" s="1"/>
  <c r="AB5" i="4"/>
  <c r="AA60" i="4"/>
  <c r="AA22" i="4"/>
  <c r="AA12" i="4"/>
  <c r="AA5" i="4"/>
  <c r="Z60" i="4"/>
  <c r="Z22" i="4"/>
  <c r="Z12" i="4"/>
  <c r="Z5" i="4"/>
  <c r="Y60" i="4"/>
  <c r="Y22" i="4"/>
  <c r="Y12" i="4"/>
  <c r="W6" i="10" s="1"/>
  <c r="Y5" i="4"/>
  <c r="X60" i="4"/>
  <c r="X22" i="4"/>
  <c r="X12" i="4"/>
  <c r="X5" i="4"/>
  <c r="W60" i="4"/>
  <c r="W22" i="4"/>
  <c r="W12" i="4"/>
  <c r="W5" i="4"/>
  <c r="V60" i="4"/>
  <c r="V22" i="4"/>
  <c r="V12" i="4"/>
  <c r="S6" i="10" s="1"/>
  <c r="V5" i="4"/>
  <c r="S7" i="10" s="1"/>
  <c r="T7" i="10" s="1"/>
  <c r="U60" i="4"/>
  <c r="U22" i="4"/>
  <c r="U12" i="4"/>
  <c r="U5" i="4"/>
  <c r="T60" i="4"/>
  <c r="T22" i="4"/>
  <c r="T12" i="4"/>
  <c r="T5" i="4"/>
  <c r="S60" i="4"/>
  <c r="S22" i="4"/>
  <c r="S12" i="4"/>
  <c r="S5" i="4"/>
  <c r="R60" i="4"/>
  <c r="R22" i="4"/>
  <c r="R12" i="4"/>
  <c r="R5" i="4"/>
  <c r="Q60" i="4"/>
  <c r="Q22" i="4"/>
  <c r="Q12" i="4"/>
  <c r="O6" i="10" s="1"/>
  <c r="Q5" i="4"/>
  <c r="O15" i="10" s="1"/>
  <c r="P15" i="10" s="1"/>
  <c r="P60" i="4"/>
  <c r="P22" i="4"/>
  <c r="P12" i="4"/>
  <c r="P5" i="4"/>
  <c r="O60" i="4"/>
  <c r="O22" i="4"/>
  <c r="O12" i="4"/>
  <c r="L6" i="10" s="1"/>
  <c r="L20" i="10" s="1"/>
  <c r="O5" i="4"/>
  <c r="L15" i="10" s="1"/>
  <c r="N60" i="4"/>
  <c r="N22" i="4"/>
  <c r="N12" i="4"/>
  <c r="N5" i="4"/>
  <c r="M60" i="4"/>
  <c r="M22" i="4"/>
  <c r="M12" i="4"/>
  <c r="M5" i="4"/>
  <c r="L60" i="4"/>
  <c r="L22" i="4"/>
  <c r="L12" i="4"/>
  <c r="L5" i="4"/>
  <c r="K60" i="4"/>
  <c r="K22" i="4"/>
  <c r="K12" i="4"/>
  <c r="J6" i="10" s="1"/>
  <c r="K5" i="4"/>
  <c r="J7" i="10" s="1"/>
  <c r="K7" i="10" s="1"/>
  <c r="J60" i="4"/>
  <c r="J22" i="4"/>
  <c r="J12" i="4"/>
  <c r="J5" i="4"/>
  <c r="I60" i="4"/>
  <c r="I22" i="4"/>
  <c r="I12" i="4"/>
  <c r="G6" i="10" s="1"/>
  <c r="G20" i="10" s="1"/>
  <c r="I5" i="4"/>
  <c r="H60" i="4"/>
  <c r="H22" i="4"/>
  <c r="H12" i="4"/>
  <c r="H5" i="4"/>
  <c r="G60" i="4"/>
  <c r="G22" i="4"/>
  <c r="G12" i="4"/>
  <c r="G5" i="4"/>
  <c r="F60" i="4"/>
  <c r="F22" i="4"/>
  <c r="F12" i="4"/>
  <c r="F5" i="4"/>
  <c r="E60" i="4"/>
  <c r="E22" i="4"/>
  <c r="E12" i="4"/>
  <c r="E6" i="10" s="1"/>
  <c r="E5" i="4"/>
  <c r="D60" i="4"/>
  <c r="D22" i="4"/>
  <c r="D12" i="4"/>
  <c r="D5" i="4"/>
  <c r="F15" i="10" l="1"/>
  <c r="F6" i="10"/>
  <c r="E12" i="10" s="1"/>
  <c r="E38" i="10"/>
  <c r="C12" i="10"/>
  <c r="K6" i="10"/>
  <c r="P6" i="10"/>
  <c r="T6" i="10"/>
  <c r="S38" i="10"/>
  <c r="S13" i="10"/>
  <c r="R17" i="10"/>
  <c r="R46" i="10" s="1"/>
  <c r="Q13" i="10"/>
  <c r="R13" i="10"/>
  <c r="X6" i="10"/>
  <c r="AB6" i="10"/>
  <c r="AB13" i="10" s="1"/>
  <c r="L23" i="10"/>
  <c r="Q17" i="10"/>
  <c r="G32" i="10"/>
  <c r="G24" i="10"/>
  <c r="G22" i="10"/>
  <c r="G23" i="10"/>
  <c r="L27" i="10"/>
  <c r="T17" i="10"/>
  <c r="J15" i="10"/>
  <c r="P52" i="10"/>
  <c r="S17" i="10"/>
  <c r="L32" i="10"/>
  <c r="L24" i="10"/>
  <c r="L22" i="10"/>
  <c r="W7" i="10"/>
  <c r="X7" i="10" s="1"/>
  <c r="W15" i="10"/>
  <c r="AA15" i="10"/>
  <c r="AA7" i="10"/>
  <c r="AB7" i="10" s="1"/>
  <c r="G27" i="10"/>
  <c r="O7" i="10"/>
  <c r="P7" i="10" s="1"/>
  <c r="M45" i="10"/>
  <c r="P39" i="10" s="1"/>
  <c r="P42" i="10" s="1"/>
  <c r="W13" i="10" l="1"/>
  <c r="F38" i="10"/>
  <c r="AB15" i="10"/>
  <c r="AB17" i="10" s="1"/>
  <c r="AA17" i="10"/>
  <c r="AA46" i="10" s="1"/>
  <c r="AB39" i="10" s="1"/>
  <c r="AB42" i="10" s="1"/>
  <c r="L30" i="10"/>
  <c r="L31" i="10" s="1"/>
  <c r="L29" i="10" s="1"/>
  <c r="L33" i="10" s="1"/>
  <c r="L34" i="10" s="1"/>
  <c r="L21" i="10"/>
  <c r="L26" i="10" s="1"/>
  <c r="L25" i="10" s="1"/>
  <c r="L28" i="10" s="1"/>
  <c r="K15" i="10"/>
  <c r="J17" i="10"/>
  <c r="G30" i="10"/>
  <c r="G31" i="10" s="1"/>
  <c r="G29" i="10" s="1"/>
  <c r="G33" i="10" s="1"/>
  <c r="G34" i="10" s="1"/>
  <c r="G21" i="10"/>
  <c r="G26" i="10" s="1"/>
  <c r="G25" i="10" s="1"/>
  <c r="G28" i="10" s="1"/>
  <c r="Q46" i="10"/>
  <c r="T13" i="10"/>
  <c r="AA13" i="10"/>
  <c r="V13" i="10"/>
  <c r="O12" i="10"/>
  <c r="P12" i="10" s="1"/>
  <c r="P45" i="10" s="1"/>
  <c r="H12" i="10"/>
  <c r="W17" i="10"/>
  <c r="X15" i="10"/>
  <c r="X17" i="10" s="1"/>
  <c r="I12" i="10"/>
  <c r="U13" i="10"/>
  <c r="T38" i="10"/>
  <c r="S46" i="10"/>
  <c r="I17" i="10"/>
  <c r="I45" i="10" s="1"/>
  <c r="D17" i="10"/>
  <c r="D45" i="10" s="1"/>
  <c r="E17" i="10"/>
  <c r="E45" i="10" s="1"/>
  <c r="D12" i="10"/>
  <c r="AB52" i="10"/>
  <c r="C17" i="10"/>
  <c r="U17" i="10"/>
  <c r="J12" i="10"/>
  <c r="F17" i="10"/>
  <c r="U46" i="10" l="1"/>
  <c r="T52" i="10"/>
  <c r="T46" i="10"/>
  <c r="T42" i="10"/>
  <c r="T39" i="10"/>
  <c r="T53" i="10"/>
  <c r="F11" i="16" s="1"/>
  <c r="C45" i="10"/>
  <c r="F12" i="10"/>
  <c r="F52" i="10"/>
  <c r="F45" i="10"/>
  <c r="F39" i="10"/>
  <c r="F42" i="10"/>
  <c r="F53" i="10"/>
  <c r="C11" i="16" s="1"/>
  <c r="P47" i="10"/>
  <c r="P48" i="10" s="1"/>
  <c r="P51" i="10" s="1"/>
  <c r="P53" i="10" s="1"/>
  <c r="E11" i="16" s="1"/>
  <c r="W38" i="10"/>
  <c r="K17" i="10"/>
  <c r="J38" i="10"/>
  <c r="H17" i="10"/>
  <c r="AB46" i="10"/>
  <c r="V17" i="10"/>
  <c r="V46" i="10" s="1"/>
  <c r="K12" i="10" l="1"/>
  <c r="H45" i="10"/>
  <c r="T48" i="10"/>
  <c r="T51" i="10" s="1"/>
  <c r="T47" i="10"/>
  <c r="K38" i="10"/>
  <c r="J45" i="10"/>
  <c r="F48" i="10"/>
  <c r="F51" i="10" s="1"/>
  <c r="F47" i="10"/>
  <c r="AB47" i="10"/>
  <c r="AB48" i="10" s="1"/>
  <c r="AB51" i="10" s="1"/>
  <c r="AB53" i="10" s="1"/>
  <c r="H11" i="16" s="1"/>
  <c r="X38" i="10"/>
  <c r="W46" i="10"/>
  <c r="X13" i="10"/>
  <c r="X52" i="10" l="1"/>
  <c r="X46" i="10"/>
  <c r="X42" i="10"/>
  <c r="X53" i="10"/>
  <c r="G11" i="16" s="1"/>
  <c r="X39" i="10"/>
  <c r="K52" i="10"/>
  <c r="K45" i="10"/>
  <c r="K53" i="10"/>
  <c r="D11" i="16" s="1"/>
  <c r="K39" i="10"/>
  <c r="K42" i="10"/>
  <c r="K48" i="10" l="1"/>
  <c r="K51" i="10" s="1"/>
  <c r="K47" i="10"/>
  <c r="X48" i="10"/>
  <c r="X51" i="10" s="1"/>
  <c r="X47" i="10"/>
</calcChain>
</file>

<file path=xl/sharedStrings.xml><?xml version="1.0" encoding="utf-8"?>
<sst xmlns="http://schemas.openxmlformats.org/spreadsheetml/2006/main" count="572" uniqueCount="510">
  <si>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</si>
  <si>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</si>
  <si>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</si>
  <si>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</si>
  <si>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</si>
  <si>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</si>
  <si>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</si>
  <si>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</si>
  <si>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</si>
  <si>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</si>
  <si>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</si>
  <si>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</si>
  <si>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</si>
  <si>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</si>
  <si>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</si>
  <si>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</si>
  <si>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</si>
  <si>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</si>
  <si>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</si>
  <si>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</si>
  <si>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</si>
  <si>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</si>
  <si>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</si>
  <si>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</si>
  <si>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</si>
  <si>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</si>
  <si>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</si>
  <si>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</si>
  <si>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</si>
  <si>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</si>
  <si>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</si>
  <si>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</si>
  <si>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</si>
  <si>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</si>
  <si>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</si>
  <si>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</si>
  <si>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</si>
  <si>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</si>
  <si>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</si>
  <si>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</si>
  <si>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</si>
  <si>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</si>
  <si>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</si>
  <si>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</si>
  <si>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</si>
  <si>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</si>
  <si>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</si>
  <si>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</si>
  <si>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</si>
  <si>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</si>
  <si>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</si>
  <si>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</si>
  <si>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</si>
  <si>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</si>
  <si>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</si>
  <si>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</si>
  <si>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</si>
  <si>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</si>
  <si>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</si>
  <si>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</si>
  <si>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</si>
  <si>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</si>
  <si>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</si>
  <si>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</si>
  <si>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</si>
  <si>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</si>
  <si>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</si>
  <si>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</si>
  <si>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</si>
  <si>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</si>
  <si>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</si>
  <si>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</si>
  <si>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</si>
  <si>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</si>
  <si>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</si>
  <si>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</si>
  <si>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</si>
  <si>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</si>
  <si>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</si>
  <si>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</si>
  <si>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</si>
  <si>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</si>
  <si>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</si>
  <si>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</si>
  <si>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</si>
  <si>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</si>
  <si>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</si>
  <si>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</si>
  <si>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</si>
  <si>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</si>
  <si>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</si>
  <si>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</si>
  <si>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</si>
  <si>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</si>
  <si>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</si>
  <si>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</si>
  <si>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</si>
  <si>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</si>
  <si>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</si>
  <si>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</si>
  <si>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</si>
  <si>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</si>
  <si>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</si>
  <si>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</si>
  <si>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</si>
  <si>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</si>
  <si>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</si>
  <si>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</si>
  <si>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</si>
  <si>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</si>
  <si>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</si>
  <si>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</si>
  <si>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</si>
  <si>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</si>
  <si>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</si>
  <si>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</si>
  <si>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</si>
  <si>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</si>
  <si>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</si>
  <si>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</si>
  <si>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</si>
  <si>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</si>
  <si>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</si>
  <si>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</si>
  <si>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</si>
  <si>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</si>
  <si>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</si>
  <si>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</si>
  <si>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</si>
  <si>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</si>
  <si>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</si>
  <si>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</si>
  <si>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</si>
  <si>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</si>
  <si>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</si>
  <si>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</si>
  <si>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</si>
  <si>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</si>
  <si>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</si>
  <si>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</si>
  <si>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</si>
  <si>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</si>
  <si>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</si>
  <si>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</si>
  <si>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</si>
  <si>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</si>
  <si>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</si>
  <si>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</si>
  <si>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</si>
  <si>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</si>
  <si>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</si>
  <si>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</si>
  <si>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</si>
  <si>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</si>
  <si>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</si>
  <si>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</si>
  <si>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</si>
  <si>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</si>
  <si>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</si>
  <si>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</si>
  <si>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</si>
  <si>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</si>
  <si>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</si>
  <si>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</si>
  <si>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</si>
  <si>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</si>
  <si>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</si>
  <si>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</si>
  <si>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</si>
  <si>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</si>
  <si>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</si>
  <si>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</si>
  <si>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</si>
  <si>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</si>
  <si>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</si>
  <si>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</si>
  <si>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</si>
  <si>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</si>
  <si>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</si>
  <si>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</si>
  <si>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</si>
  <si>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</si>
  <si>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</si>
  <si>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</si>
  <si>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</si>
  <si>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</si>
  <si>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</si>
  <si>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</si>
  <si>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</si>
  <si>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</si>
  <si>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</si>
  <si>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</si>
  <si>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</si>
  <si>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</si>
  <si>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</si>
  <si>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</si>
  <si>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</si>
  <si>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</si>
  <si>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</si>
  <si>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</si>
  <si>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</si>
  <si>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</si>
  <si>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</si>
  <si>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</si>
  <si>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</si>
  <si>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</si>
  <si>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</si>
  <si>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</si>
  <si>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</si>
  <si>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</si>
  <si>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</si>
  <si>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</si>
  <si>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</si>
  <si>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</si>
  <si>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</si>
  <si>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</si>
  <si>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</si>
  <si>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</si>
  <si>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</si>
  <si>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</si>
  <si>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</si>
  <si>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</si>
  <si>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</si>
  <si>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</si>
  <si>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</si>
  <si>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</si>
  <si>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</si>
  <si>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</si>
  <si>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</si>
  <si>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</si>
  <si>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</si>
  <si>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</si>
  <si>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</si>
  <si>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</si>
  <si>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</si>
  <si>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</si>
  <si>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</si>
  <si>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</si>
  <si>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</si>
  <si>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</si>
  <si>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</si>
  <si>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</si>
  <si>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</si>
  <si>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</si>
  <si>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</si>
  <si>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</si>
  <si>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</si>
  <si>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</si>
  <si>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</si>
  <si>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</si>
  <si>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</si>
  <si>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</si>
  <si>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</si>
  <si>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</si>
  <si>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</si>
  <si>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</si>
  <si>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</si>
  <si>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</si>
  <si>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</si>
  <si>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</si>
  <si>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</si>
  <si>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</si>
  <si>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</si>
  <si>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</si>
  <si>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</si>
  <si>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</si>
  <si>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</si>
  <si>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</si>
  <si>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</si>
  <si>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</si>
  <si>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</si>
  <si>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</si>
  <si>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</si>
  <si>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</si>
  <si>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</si>
  <si>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</si>
  <si>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</si>
  <si>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</si>
  <si>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</si>
  <si>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</si>
  <si>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</si>
  <si>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</si>
  <si>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</si>
  <si>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</si>
  <si>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</si>
  <si>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</si>
  <si>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</si>
  <si>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</si>
  <si>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</si>
  <si>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</si>
  <si>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</si>
  <si>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</si>
  <si>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</si>
  <si>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</si>
  <si>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</si>
  <si>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</si>
  <si>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</si>
  <si>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</si>
  <si>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</si>
  <si>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</si>
  <si>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</si>
  <si>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</si>
  <si>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</si>
  <si>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</si>
  <si>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</si>
  <si>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</si>
  <si>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</si>
  <si>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</si>
  <si>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</si>
  <si>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</si>
  <si>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</si>
  <si>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</si>
  <si>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</si>
  <si>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</si>
  <si>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</si>
  <si>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</si>
  <si>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</si>
  <si>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</si>
  <si>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</si>
  <si>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</si>
  <si>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</si>
  <si>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</si>
  <si>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</si>
  <si>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</si>
  <si>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</si>
  <si>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</si>
  <si>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</si>
  <si>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</si>
  <si>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</si>
  <si>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</si>
  <si>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</si>
  <si>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</si>
  <si>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</si>
  <si>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</si>
  <si>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</si>
  <si>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</si>
  <si>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</si>
  <si>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</si>
  <si>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</si>
  <si>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</si>
  <si>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</si>
  <si>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</si>
  <si>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</si>
  <si>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</si>
  <si>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</si>
  <si>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</si>
  <si>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</si>
  <si>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</si>
  <si>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</si>
  <si>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</si>
  <si>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</si>
  <si>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</si>
  <si>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</si>
  <si>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</si>
  <si>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</si>
  <si>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</si>
  <si>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</si>
  <si>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</si>
  <si>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</si>
  <si>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</si>
  <si>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</si>
  <si>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</si>
  <si>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</si>
  <si>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</si>
  <si>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</si>
  <si>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</si>
  <si>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</si>
  <si>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</si>
  <si>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</si>
  <si>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</si>
  <si>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</si>
  <si>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</si>
  <si>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</si>
  <si>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</si>
  <si>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</si>
  <si>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</si>
  <si>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</si>
  <si>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</si>
  <si>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</si>
  <si>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</si>
  <si>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</si>
  <si>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</si>
  <si>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</si>
  <si>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</si>
  <si>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</si>
  <si>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</si>
  <si>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</si>
  <si>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</si>
  <si>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</si>
  <si>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</si>
  <si>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</si>
  <si>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</si>
  <si>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</si>
  <si>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</si>
  <si>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</si>
  <si>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</si>
  <si>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</si>
  <si>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</si>
  <si>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</si>
  <si>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</si>
  <si>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</si>
  <si>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</si>
  <si>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</si>
  <si>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</si>
  <si>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</si>
  <si>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</si>
  <si>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</si>
  <si>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</si>
  <si>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</si>
  <si>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</si>
  <si>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</si>
  <si>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</si>
  <si>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</si>
  <si>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</si>
  <si>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</si>
  <si>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</si>
  <si>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</si>
  <si>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</si>
  <si>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</si>
  <si>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</si>
  <si>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</si>
  <si>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</si>
  <si>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</si>
  <si>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</si>
  <si>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</si>
  <si>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</si>
  <si>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</si>
  <si>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</si>
  <si>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</si>
  <si>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</si>
  <si>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</si>
  <si>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</si>
  <si>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</si>
  <si>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</si>
  <si>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</si>
  <si>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</si>
  <si>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</si>
  <si>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</si>
  <si>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</si>
  <si>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</si>
  <si>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</si>
  <si>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</si>
  <si>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</si>
  <si>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</si>
  <si>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</si>
  <si>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</si>
  <si>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</si>
  <si>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</si>
  <si>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</si>
  <si>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</si>
  <si>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</si>
  <si>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</si>
  <si>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</si>
  <si>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</si>
  <si>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</si>
  <si>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</si>
  <si>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</si>
  <si>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</si>
  <si>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</si>
  <si>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</si>
  <si>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</si>
  <si>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</si>
  <si>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</si>
  <si>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</si>
  <si>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</si>
  <si>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</si>
  <si>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</si>
  <si>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</si>
  <si>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</si>
  <si>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</si>
  <si>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</si>
  <si>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</si>
  <si>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</si>
  <si>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</si>
  <si>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</si>
  <si>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</si>
  <si>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</si>
  <si>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</si>
  <si>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</si>
  <si>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</si>
  <si>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</si>
  <si>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</si>
  <si>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</si>
  <si>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</si>
  <si>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</si>
  <si>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</si>
  <si>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</si>
  <si>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</si>
  <si>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</si>
  <si>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</si>
  <si>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</si>
  <si>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</si>
  <si>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</si>
  <si>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</si>
  <si>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</si>
  <si>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</si>
  <si>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</si>
  <si>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</si>
  <si>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</si>
  <si>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</si>
  <si>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</si>
  <si>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</si>
  <si>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</si>
  <si>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</si>
  <si>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</si>
  <si>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18032</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</si>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</sst>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164</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165</v>
      </c>
      <c r="E5" s="219">
        <f>SUM('Pt 2 Premium and Claims'!E$5,'Pt 2 Premium and Claims'!E$6,-'Pt 2 Premium and Claims'!E$7,-'Pt 2 Premium and Claims'!E$13,'Pt 2 Premium and Claims'!E$14:'Pt 2 Premium and Claims'!E$17)</f>
        <v>165</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662273</v>
      </c>
      <c r="Q5" s="219">
        <f>SUM('Pt 2 Premium and Claims'!Q$5,'Pt 2 Premium and Claims'!Q$6,-'Pt 2 Premium and Claims'!Q$7,-'Pt 2 Premium and Claims'!Q$13,'Pt 2 Premium and Claims'!Q$14)</f>
        <v>674468</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164801</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7</v>
      </c>
      <c r="Q7" s="223">
        <v>7</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11</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1175</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-1760</v>
      </c>
      <c r="E12" s="219">
        <f>'Pt 2 Premium and Claims'!E$54</f>
        <v>-9</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-1880763</v>
      </c>
      <c r="Q12" s="219">
        <f>'Pt 2 Premium and Claims'!Q$54</f>
        <v>-335736</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2497</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641538</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36250</v>
      </c>
      <c r="Q13" s="223">
        <v>7975</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4180</v>
      </c>
      <c r="Q14" s="223">
        <v>199869</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1804</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2272</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-13</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2987</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911</v>
      </c>
      <c r="E25" s="223">
        <v>911</v>
      </c>
      <c r="F25" s="223"/>
      <c r="G25" s="223"/>
      <c r="H25" s="223"/>
      <c r="I25" s="222">
        <v>0</v>
      </c>
      <c r="J25" s="222">
        <v>0</v>
      </c>
      <c r="K25" s="223">
        <v>0</v>
      </c>
      <c r="L25" s="223"/>
      <c r="M25" s="223"/>
      <c r="N25" s="223"/>
      <c r="O25" s="222"/>
      <c r="P25" s="222">
        <v>920059</v>
      </c>
      <c r="Q25" s="223">
        <v>920059</v>
      </c>
      <c r="R25" s="223"/>
      <c r="S25" s="223"/>
      <c r="T25" s="223"/>
      <c r="U25" s="222">
        <v>0</v>
      </c>
      <c r="V25" s="223">
        <v>0</v>
      </c>
      <c r="W25" s="223"/>
      <c r="X25" s="222">
        <v>0</v>
      </c>
      <c r="Y25" s="223">
        <v>0</v>
      </c>
      <c r="Z25" s="223"/>
      <c r="AA25" s="222">
        <v>-1204</v>
      </c>
      <c r="AB25" s="223">
        <v>-1204</v>
      </c>
      <c r="AC25" s="223"/>
      <c r="AD25" s="222"/>
      <c r="AE25" s="276"/>
      <c r="AF25" s="276"/>
      <c r="AG25" s="276"/>
      <c r="AH25" s="279"/>
      <c r="AI25" s="222"/>
      <c r="AJ25" s="276"/>
      <c r="AK25" s="276"/>
      <c r="AL25" s="276"/>
      <c r="AM25" s="279"/>
      <c r="AN25" s="222"/>
      <c r="AO25" s="223"/>
      <c r="AP25" s="223"/>
      <c r="AQ25" s="223"/>
      <c r="AR25" s="223"/>
      <c r="AS25" s="222">
        <v>0</v>
      </c>
      <c r="AT25" s="226">
        <v>229319</v>
      </c>
      <c r="AU25" s="226">
        <v>0</v>
      </c>
      <c r="AV25" s="226">
        <v>10321540</v>
      </c>
      <c r="AW25" s="303"/>
    </row>
    <row r="26" spans="1:49" s="11" customFormat="1" x14ac:dyDescent="0.2">
      <c r="A26" s="41"/>
      <c r="B26" s="248" t="s">
        <v>242</v>
      </c>
      <c r="C26" s="209"/>
      <c r="D26" s="222">
        <v>2</v>
      </c>
      <c r="E26" s="223">
        <v>2</v>
      </c>
      <c r="F26" s="223"/>
      <c r="G26" s="223"/>
      <c r="H26" s="223"/>
      <c r="I26" s="222">
        <v>0</v>
      </c>
      <c r="J26" s="222">
        <v>0</v>
      </c>
      <c r="K26" s="223">
        <v>0</v>
      </c>
      <c r="L26" s="223"/>
      <c r="M26" s="223"/>
      <c r="N26" s="223"/>
      <c r="O26" s="222"/>
      <c r="P26" s="222">
        <v>802</v>
      </c>
      <c r="Q26" s="223">
        <v>802</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742</v>
      </c>
      <c r="Q27" s="223">
        <v>742</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4745</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75</v>
      </c>
      <c r="Q28" s="223">
        <v>75</v>
      </c>
      <c r="R28" s="223"/>
      <c r="S28" s="223"/>
      <c r="T28" s="223"/>
      <c r="U28" s="222">
        <v>0</v>
      </c>
      <c r="V28" s="223">
        <v>0</v>
      </c>
      <c r="W28" s="223"/>
      <c r="X28" s="222">
        <v>0</v>
      </c>
      <c r="Y28" s="223">
        <v>0</v>
      </c>
      <c r="Z28" s="223"/>
      <c r="AA28" s="222">
        <v>-35</v>
      </c>
      <c r="AB28" s="223">
        <v>-35</v>
      </c>
      <c r="AC28" s="223"/>
      <c r="AD28" s="222"/>
      <c r="AE28" s="276"/>
      <c r="AF28" s="276"/>
      <c r="AG28" s="276"/>
      <c r="AH28" s="276"/>
      <c r="AI28" s="222"/>
      <c r="AJ28" s="276"/>
      <c r="AK28" s="276"/>
      <c r="AL28" s="276"/>
      <c r="AM28" s="276"/>
      <c r="AN28" s="222"/>
      <c r="AO28" s="223"/>
      <c r="AP28" s="223"/>
      <c r="AQ28" s="223"/>
      <c r="AR28" s="223"/>
      <c r="AS28" s="222">
        <v>0</v>
      </c>
      <c r="AT28" s="226">
        <v>2645</v>
      </c>
      <c r="AU28" s="226">
        <v>0</v>
      </c>
      <c r="AV28" s="226">
        <v>4956</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v>
      </c>
      <c r="E30" s="223">
        <v>1</v>
      </c>
      <c r="F30" s="223"/>
      <c r="G30" s="223"/>
      <c r="H30" s="223"/>
      <c r="I30" s="222">
        <v>0</v>
      </c>
      <c r="J30" s="222">
        <v>0</v>
      </c>
      <c r="K30" s="223">
        <v>0</v>
      </c>
      <c r="L30" s="223"/>
      <c r="M30" s="223"/>
      <c r="N30" s="223"/>
      <c r="O30" s="222"/>
      <c r="P30" s="222">
        <v>5458</v>
      </c>
      <c r="Q30" s="223">
        <v>5458</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5362</v>
      </c>
      <c r="AU30" s="226">
        <v>0</v>
      </c>
      <c r="AV30" s="226">
        <v>79</v>
      </c>
      <c r="AW30" s="303"/>
    </row>
    <row r="31" spans="1:49" x14ac:dyDescent="0.2">
      <c r="B31" s="248" t="s">
        <v>247</v>
      </c>
      <c r="C31" s="209"/>
      <c r="D31" s="222">
        <v>1</v>
      </c>
      <c r="E31" s="223">
        <v>1</v>
      </c>
      <c r="F31" s="223"/>
      <c r="G31" s="223"/>
      <c r="H31" s="223"/>
      <c r="I31" s="222">
        <v>0</v>
      </c>
      <c r="J31" s="222">
        <v>0</v>
      </c>
      <c r="K31" s="223">
        <v>0</v>
      </c>
      <c r="L31" s="223"/>
      <c r="M31" s="223"/>
      <c r="N31" s="223"/>
      <c r="O31" s="222"/>
      <c r="P31" s="222">
        <v>4626</v>
      </c>
      <c r="Q31" s="223">
        <v>4626</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4502</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45</v>
      </c>
      <c r="E34" s="223">
        <v>45</v>
      </c>
      <c r="F34" s="223"/>
      <c r="G34" s="223"/>
      <c r="H34" s="223"/>
      <c r="I34" s="222">
        <v>0</v>
      </c>
      <c r="J34" s="222">
        <v>0</v>
      </c>
      <c r="K34" s="223">
        <v>0</v>
      </c>
      <c r="L34" s="223"/>
      <c r="M34" s="223"/>
      <c r="N34" s="223"/>
      <c r="O34" s="222"/>
      <c r="P34" s="222">
        <v>810</v>
      </c>
      <c r="Q34" s="223">
        <v>810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-2246</v>
      </c>
      <c r="Q35" s="223">
        <v>-2246</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-47</v>
      </c>
      <c r="AU35" s="226">
        <v>0</v>
      </c>
      <c r="AV35" s="226">
        <v>-11572</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805</v>
      </c>
      <c r="Q37" s="231">
        <v>-386</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409</v>
      </c>
      <c r="AU37" s="232">
        <v>0</v>
      </c>
      <c r="AV37" s="232">
        <v>36</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994</v>
      </c>
      <c r="Q38" s="223">
        <v>-68</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138</v>
      </c>
      <c r="AU38" s="226">
        <v>0</v>
      </c>
      <c r="AV38" s="226">
        <v>1</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2628</v>
      </c>
      <c r="Q39" s="223">
        <v>-82</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220</v>
      </c>
      <c r="AU39" s="226">
        <v>0</v>
      </c>
      <c r="AV39" s="226">
        <v>65</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726</v>
      </c>
      <c r="Q40" s="223">
        <v>-273</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339</v>
      </c>
      <c r="AU40" s="226">
        <v>0</v>
      </c>
      <c r="AV40" s="226">
        <v>57</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739</v>
      </c>
      <c r="Q41" s="223">
        <v>-260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538</v>
      </c>
      <c r="AU41" s="226">
        <v>0</v>
      </c>
      <c r="AV41" s="226">
        <v>715</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-7</v>
      </c>
      <c r="Q42" s="223">
        <v>-7</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5</v>
      </c>
      <c r="AU42" s="226">
        <v>0</v>
      </c>
      <c r="AV42" s="226">
        <v>39</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36632</v>
      </c>
      <c r="Q44" s="231">
        <v>1527</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5116</v>
      </c>
      <c r="AU44" s="232">
        <v>0</v>
      </c>
      <c r="AV44" s="232">
        <v>16300</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1998</v>
      </c>
      <c r="Q45" s="223">
        <v>1998</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-3855</v>
      </c>
      <c r="AU45" s="226">
        <v>0</v>
      </c>
      <c r="AV45" s="226">
        <v>405</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-3328</v>
      </c>
      <c r="Q46" s="223">
        <v>-3328</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10352</v>
      </c>
      <c r="AU46" s="226">
        <v>0</v>
      </c>
      <c r="AV46" s="226">
        <v>7163</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8929</v>
      </c>
      <c r="Q47" s="223">
        <v>8929</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8690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-1559</v>
      </c>
      <c r="Q49" s="223">
        <v>-1559</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19</v>
      </c>
      <c r="AU49" s="226">
        <v>0</v>
      </c>
      <c r="AV49" s="226">
        <v>10215</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33</v>
      </c>
      <c r="Q50" s="223">
        <v>33</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5</v>
      </c>
      <c r="AU50" s="226">
        <v>0</v>
      </c>
      <c r="AV50" s="226">
        <v>1712</v>
      </c>
      <c r="AW50" s="303"/>
    </row>
    <row r="51" spans="2:49" x14ac:dyDescent="0.2">
      <c r="B51" s="245" t="s">
        <v>266</v>
      </c>
      <c r="C51" s="209"/>
      <c r="D51" s="222">
        <v>0</v>
      </c>
      <c r="E51" s="223">
        <v>0</v>
      </c>
      <c r="F51" s="223"/>
      <c r="G51" s="223"/>
      <c r="H51" s="223"/>
      <c r="I51" s="222">
        <v>0</v>
      </c>
      <c r="J51" s="222">
        <v>0</v>
      </c>
      <c r="K51" s="223">
        <v>0</v>
      </c>
      <c r="L51" s="223"/>
      <c r="M51" s="223"/>
      <c r="N51" s="223"/>
      <c r="O51" s="222"/>
      <c r="P51" s="222">
        <v>-141424</v>
      </c>
      <c r="Q51" s="223">
        <v>-141424</v>
      </c>
      <c r="R51" s="223"/>
      <c r="S51" s="223"/>
      <c r="T51" s="223"/>
      <c r="U51" s="222">
        <v>0</v>
      </c>
      <c r="V51" s="223">
        <v>0</v>
      </c>
      <c r="W51" s="223"/>
      <c r="X51" s="222">
        <v>0</v>
      </c>
      <c r="Y51" s="223">
        <v>0</v>
      </c>
      <c r="Z51" s="223"/>
      <c r="AA51" s="222">
        <v>35</v>
      </c>
      <c r="AB51" s="223">
        <v>35</v>
      </c>
      <c r="AC51" s="223"/>
      <c r="AD51" s="222"/>
      <c r="AE51" s="276"/>
      <c r="AF51" s="276"/>
      <c r="AG51" s="276"/>
      <c r="AH51" s="276"/>
      <c r="AI51" s="222"/>
      <c r="AJ51" s="276"/>
      <c r="AK51" s="276"/>
      <c r="AL51" s="276"/>
      <c r="AM51" s="276"/>
      <c r="AN51" s="222"/>
      <c r="AO51" s="223"/>
      <c r="AP51" s="223"/>
      <c r="AQ51" s="223"/>
      <c r="AR51" s="223"/>
      <c r="AS51" s="222">
        <v>0</v>
      </c>
      <c r="AT51" s="226">
        <v>202818</v>
      </c>
      <c r="AU51" s="226">
        <v>0</v>
      </c>
      <c r="AV51" s="226">
        <v>259111</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-5</v>
      </c>
      <c r="Q53" s="223">
        <v>-5</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103</v>
      </c>
      <c r="AU53" s="226">
        <v>0</v>
      </c>
      <c r="AV53" s="226">
        <v>74</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21482285</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39</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96</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2</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163</v>
      </c>
      <c r="Q59" s="238">
        <v>163</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6433</v>
      </c>
      <c r="AU59" s="239">
        <v>0</v>
      </c>
      <c r="AV59" s="239">
        <v>2300</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13.583333333333334</v>
      </c>
      <c r="Q60" s="241">
        <f>Q$59/12</f>
        <v>13.583333333333334</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536.08333333333337</v>
      </c>
      <c r="AU60" s="242">
        <f>AU$59/12</f>
        <v>0</v>
      </c>
      <c r="AV60" s="242">
        <f>AV$59/12</f>
        <v>191.66666666666666</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341764691</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6464980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162</v>
      </c>
      <c r="E5" s="332">
        <v>-126</v>
      </c>
      <c r="F5" s="332"/>
      <c r="G5" s="334"/>
      <c r="H5" s="334"/>
      <c r="I5" s="331">
        <v>0</v>
      </c>
      <c r="J5" s="331">
        <v>0</v>
      </c>
      <c r="K5" s="332">
        <v>0</v>
      </c>
      <c r="L5" s="332"/>
      <c r="M5" s="332"/>
      <c r="N5" s="332"/>
      <c r="O5" s="331"/>
      <c r="P5" s="331">
        <v>600664</v>
      </c>
      <c r="Q5" s="332">
        <v>600356</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127794</v>
      </c>
      <c r="AU5" s="333">
        <v>0</v>
      </c>
      <c r="AV5" s="375"/>
      <c r="AW5" s="379"/>
    </row>
    <row r="6" spans="2:49" x14ac:dyDescent="0.2">
      <c r="B6" s="349" t="s">
        <v>278</v>
      </c>
      <c r="C6" s="337" t="s">
        <v>8</v>
      </c>
      <c r="D6" s="324">
        <v>144</v>
      </c>
      <c r="E6" s="325">
        <v>144</v>
      </c>
      <c r="F6" s="325"/>
      <c r="G6" s="326"/>
      <c r="H6" s="326"/>
      <c r="I6" s="324">
        <v>0</v>
      </c>
      <c r="J6" s="324">
        <v>0</v>
      </c>
      <c r="K6" s="325">
        <v>0</v>
      </c>
      <c r="L6" s="325"/>
      <c r="M6" s="325"/>
      <c r="N6" s="325"/>
      <c r="O6" s="324"/>
      <c r="P6" s="324">
        <v>72840</v>
      </c>
      <c r="Q6" s="325">
        <v>72840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36657</v>
      </c>
      <c r="AU6" s="327">
        <v>0</v>
      </c>
      <c r="AV6" s="374"/>
      <c r="AW6" s="380"/>
    </row>
    <row r="7" spans="2:49" x14ac:dyDescent="0.2">
      <c r="B7" s="349" t="s">
        <v>279</v>
      </c>
      <c r="C7" s="337" t="s">
        <v>9</v>
      </c>
      <c r="D7" s="324">
        <v>144</v>
      </c>
      <c r="E7" s="325"/>
      <c r="F7" s="325"/>
      <c r="G7" s="326"/>
      <c r="H7" s="326"/>
      <c r="I7" s="324"/>
      <c r="J7" s="324">
        <v>0</v>
      </c>
      <c r="K7" s="325"/>
      <c r="L7" s="325"/>
      <c r="M7" s="325"/>
      <c r="N7" s="325"/>
      <c r="O7" s="324"/>
      <c r="P7" s="324">
        <v>1111</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106</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-198160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198160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-3</v>
      </c>
      <c r="E13" s="325">
        <v>-147</v>
      </c>
      <c r="F13" s="325"/>
      <c r="G13" s="325"/>
      <c r="H13" s="325"/>
      <c r="I13" s="324">
        <v>0</v>
      </c>
      <c r="J13" s="324">
        <v>0</v>
      </c>
      <c r="K13" s="325">
        <v>0</v>
      </c>
      <c r="L13" s="325"/>
      <c r="M13" s="325"/>
      <c r="N13" s="325"/>
      <c r="O13" s="324"/>
      <c r="P13" s="324">
        <v>10120</v>
      </c>
      <c r="Q13" s="325">
        <v>-1272</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-456</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-1798</v>
      </c>
      <c r="E23" s="368"/>
      <c r="F23" s="368"/>
      <c r="G23" s="368"/>
      <c r="H23" s="368"/>
      <c r="I23" s="370"/>
      <c r="J23" s="324">
        <v>0</v>
      </c>
      <c r="K23" s="368"/>
      <c r="L23" s="368"/>
      <c r="M23" s="368"/>
      <c r="N23" s="368"/>
      <c r="O23" s="370"/>
      <c r="P23" s="324">
        <v>1408343</v>
      </c>
      <c r="Q23" s="368"/>
      <c r="R23" s="368"/>
      <c r="S23" s="368"/>
      <c r="T23" s="368"/>
      <c r="U23" s="324">
        <v>0</v>
      </c>
      <c r="V23" s="368"/>
      <c r="W23" s="368"/>
      <c r="X23" s="324">
        <v>0</v>
      </c>
      <c r="Y23" s="368"/>
      <c r="Z23" s="368"/>
      <c r="AA23" s="324">
        <v>4440</v>
      </c>
      <c r="AB23" s="368"/>
      <c r="AC23" s="368"/>
      <c r="AD23" s="324"/>
      <c r="AE23" s="368"/>
      <c r="AF23" s="368"/>
      <c r="AG23" s="368"/>
      <c r="AH23" s="368"/>
      <c r="AI23" s="324"/>
      <c r="AJ23" s="368"/>
      <c r="AK23" s="368"/>
      <c r="AL23" s="368"/>
      <c r="AM23" s="368"/>
      <c r="AN23" s="324"/>
      <c r="AO23" s="368"/>
      <c r="AP23" s="368"/>
      <c r="AQ23" s="368"/>
      <c r="AR23" s="368"/>
      <c r="AS23" s="324">
        <v>0</v>
      </c>
      <c r="AT23" s="327">
        <v>1550380</v>
      </c>
      <c r="AU23" s="327">
        <v>0</v>
      </c>
      <c r="AV23" s="374"/>
      <c r="AW23" s="380"/>
    </row>
    <row r="24" spans="2:49" ht="28.5" customHeight="1" x14ac:dyDescent="0.2">
      <c r="B24" s="351" t="s">
        <v>114</v>
      </c>
      <c r="C24" s="337"/>
      <c r="D24" s="371"/>
      <c r="E24" s="325">
        <v>-33</v>
      </c>
      <c r="F24" s="325"/>
      <c r="G24" s="325"/>
      <c r="H24" s="325"/>
      <c r="I24" s="324">
        <v>0</v>
      </c>
      <c r="J24" s="371"/>
      <c r="K24" s="325">
        <v>0</v>
      </c>
      <c r="L24" s="325"/>
      <c r="M24" s="325"/>
      <c r="N24" s="325"/>
      <c r="O24" s="324"/>
      <c r="P24" s="371"/>
      <c r="Q24" s="325">
        <v>-225253</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12</v>
      </c>
      <c r="E26" s="368"/>
      <c r="F26" s="368"/>
      <c r="G26" s="368"/>
      <c r="H26" s="368"/>
      <c r="I26" s="370"/>
      <c r="J26" s="324">
        <v>0</v>
      </c>
      <c r="K26" s="368"/>
      <c r="L26" s="368"/>
      <c r="M26" s="368"/>
      <c r="N26" s="368"/>
      <c r="O26" s="370"/>
      <c r="P26" s="324">
        <v>132926</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-7941</v>
      </c>
      <c r="AU26" s="327">
        <v>0</v>
      </c>
      <c r="AV26" s="374"/>
      <c r="AW26" s="380"/>
    </row>
    <row r="27" spans="2:49" s="11" customFormat="1" ht="25.5" x14ac:dyDescent="0.2">
      <c r="B27" s="351" t="s">
        <v>85</v>
      </c>
      <c r="C27" s="337"/>
      <c r="D27" s="371"/>
      <c r="E27" s="325">
        <v>1</v>
      </c>
      <c r="F27" s="325"/>
      <c r="G27" s="325"/>
      <c r="H27" s="325"/>
      <c r="I27" s="324">
        <v>0</v>
      </c>
      <c r="J27" s="371"/>
      <c r="K27" s="325">
        <v>0</v>
      </c>
      <c r="L27" s="325"/>
      <c r="M27" s="325"/>
      <c r="N27" s="325"/>
      <c r="O27" s="324"/>
      <c r="P27" s="371"/>
      <c r="Q27" s="325">
        <v>97228</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v>
      </c>
      <c r="E28" s="369"/>
      <c r="F28" s="369"/>
      <c r="G28" s="369"/>
      <c r="H28" s="369"/>
      <c r="I28" s="371"/>
      <c r="J28" s="324">
        <v>0</v>
      </c>
      <c r="K28" s="369"/>
      <c r="L28" s="369"/>
      <c r="M28" s="369"/>
      <c r="N28" s="369"/>
      <c r="O28" s="371"/>
      <c r="P28" s="324">
        <v>3331789</v>
      </c>
      <c r="Q28" s="369"/>
      <c r="R28" s="369"/>
      <c r="S28" s="369"/>
      <c r="T28" s="369"/>
      <c r="U28" s="324">
        <v>0</v>
      </c>
      <c r="V28" s="369"/>
      <c r="W28" s="369"/>
      <c r="X28" s="324">
        <v>0</v>
      </c>
      <c r="Y28" s="369"/>
      <c r="Z28" s="369"/>
      <c r="AA28" s="324">
        <v>1943</v>
      </c>
      <c r="AB28" s="369"/>
      <c r="AC28" s="369"/>
      <c r="AD28" s="324"/>
      <c r="AE28" s="368"/>
      <c r="AF28" s="368"/>
      <c r="AG28" s="368"/>
      <c r="AH28" s="368"/>
      <c r="AI28" s="324"/>
      <c r="AJ28" s="368"/>
      <c r="AK28" s="368"/>
      <c r="AL28" s="368"/>
      <c r="AM28" s="368"/>
      <c r="AN28" s="324"/>
      <c r="AO28" s="369"/>
      <c r="AP28" s="369"/>
      <c r="AQ28" s="369"/>
      <c r="AR28" s="369"/>
      <c r="AS28" s="324">
        <v>0</v>
      </c>
      <c r="AT28" s="327">
        <v>544042</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5</v>
      </c>
      <c r="E30" s="368"/>
      <c r="F30" s="368"/>
      <c r="G30" s="368"/>
      <c r="H30" s="368"/>
      <c r="I30" s="370"/>
      <c r="J30" s="324">
        <v>0</v>
      </c>
      <c r="K30" s="368"/>
      <c r="L30" s="368"/>
      <c r="M30" s="368"/>
      <c r="N30" s="368"/>
      <c r="O30" s="370"/>
      <c r="P30" s="324">
        <v>2815</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1630273</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136572</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1987030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23</v>
      </c>
      <c r="E34" s="368"/>
      <c r="F34" s="368"/>
      <c r="G34" s="368"/>
      <c r="H34" s="368"/>
      <c r="I34" s="370"/>
      <c r="J34" s="324">
        <v>0</v>
      </c>
      <c r="K34" s="368"/>
      <c r="L34" s="368"/>
      <c r="M34" s="368"/>
      <c r="N34" s="368"/>
      <c r="O34" s="370"/>
      <c r="P34" s="324">
        <v>1683</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23</v>
      </c>
      <c r="F35" s="325"/>
      <c r="G35" s="325"/>
      <c r="H35" s="325"/>
      <c r="I35" s="324">
        <v>0</v>
      </c>
      <c r="J35" s="371"/>
      <c r="K35" s="325">
        <v>0</v>
      </c>
      <c r="L35" s="325"/>
      <c r="M35" s="325"/>
      <c r="N35" s="325"/>
      <c r="O35" s="324"/>
      <c r="P35" s="371"/>
      <c r="Q35" s="325">
        <v>1683</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12424</v>
      </c>
      <c r="Q36" s="325">
        <v>12424</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-198160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198160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2277</v>
      </c>
      <c r="Q45" s="325">
        <v>1271</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4938</v>
      </c>
      <c r="Q49" s="325">
        <v>81</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102</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255076</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-1760</v>
      </c>
      <c r="E54" s="329">
        <f>E24+E27+E31+E35-E36+E39+E42+E45+E46-E49+E51+E52+E53</f>
        <v>-9</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-1880763</v>
      </c>
      <c r="Q54" s="329">
        <f>Q24+Q27+Q31+Q35-Q36+Q39+Q42+Q45+Q46-Q49+Q51+Q52+Q53</f>
        <v>-335736</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2497</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641538</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55983</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-5456</v>
      </c>
      <c r="D6" s="404">
        <v>-5161</v>
      </c>
      <c r="E6" s="406">
        <f>SUM('Pt 1 Summary of Data'!E$12,'Pt 1 Summary of Data'!E$22)+SUM('Pt 1 Summary of Data'!G$12,'Pt 1 Summary of Data'!G$22)-SUM('Pt 1 Summary of Data'!H$12,'Pt 1 Summary of Data'!H$22)</f>
        <v>-9</v>
      </c>
      <c r="F6" s="406">
        <f>SUM(C6:E6)</f>
        <v>-10626</v>
      </c>
      <c r="G6" s="407">
        <f>SUM('Pt 1 Summary of Data'!I$12,'Pt 1 Summary of Data'!I$22)</f>
        <v>0</v>
      </c>
      <c r="H6" s="403">
        <v>397658</v>
      </c>
      <c r="I6" s="404">
        <v>-758</v>
      </c>
      <c r="J6" s="406">
        <f>SUM('Pt 1 Summary of Data'!K$12,'Pt 1 Summary of Data'!K$22)+SUM('Pt 1 Summary of Data'!M$12,'Pt 1 Summary of Data'!M$22)-SUM('Pt 1 Summary of Data'!N$12,'Pt 1 Summary of Data'!N$22)</f>
        <v>0</v>
      </c>
      <c r="K6" s="406">
        <f>SUM(H6:J6)</f>
        <v>396900</v>
      </c>
      <c r="L6" s="407">
        <f>SUM('Pt 1 Summary of Data'!O$12,'Pt 1 Summary of Data'!O$22)</f>
        <v>0</v>
      </c>
      <c r="M6" s="403">
        <v>29092238</v>
      </c>
      <c r="N6" s="404">
        <v>24010503</v>
      </c>
      <c r="O6" s="406">
        <f>SUM('Pt 1 Summary of Data'!Q$12,'Pt 1 Summary of Data'!Q$22)+SUM('Pt 1 Summary of Data'!S$12,'Pt 1 Summary of Data'!S$22)-SUM('Pt 1 Summary of Data'!T$12,'Pt 1 Summary of Data'!T$22)</f>
        <v>-335736</v>
      </c>
      <c r="P6" s="406">
        <f>SUM(M6:O6)</f>
        <v>52767005</v>
      </c>
      <c r="Q6" s="403">
        <v>0</v>
      </c>
      <c r="R6" s="404">
        <v>0</v>
      </c>
      <c r="S6" s="406">
        <f>SUM('Pt 1 Summary of Data'!V$12,'Pt 1 Summary of Data'!V$22)</f>
        <v>0</v>
      </c>
      <c r="T6" s="406">
        <f>SUM(Q6:S6)</f>
        <v>0</v>
      </c>
      <c r="U6" s="403">
        <v>0</v>
      </c>
      <c r="V6" s="404">
        <v>0</v>
      </c>
      <c r="W6" s="406">
        <f>SUM('Pt 1 Summary of Data'!Y$12,'Pt 1 Summary of Data'!Y$22)</f>
        <v>0</v>
      </c>
      <c r="X6" s="406">
        <f>SUM(U6:W6)</f>
        <v>0</v>
      </c>
      <c r="Y6" s="403">
        <v>935112</v>
      </c>
      <c r="Z6" s="404">
        <v>213</v>
      </c>
      <c r="AA6" s="406">
        <f>SUM('Pt 1 Summary of Data'!AB$12,'Pt 1 Summary of Data'!AB$22)</f>
        <v>0</v>
      </c>
      <c r="AB6" s="406">
        <f>SUM(Y6:AA6)</f>
        <v>935325</v>
      </c>
      <c r="AC6" s="449"/>
      <c r="AD6" s="447"/>
      <c r="AE6" s="447"/>
      <c r="AF6" s="447"/>
      <c r="AG6" s="449"/>
      <c r="AH6" s="447"/>
      <c r="AI6" s="447"/>
      <c r="AJ6" s="447"/>
      <c r="AK6" s="403"/>
      <c r="AL6" s="404"/>
      <c r="AM6" s="406"/>
      <c r="AN6" s="436"/>
    </row>
    <row r="7" spans="1:40" x14ac:dyDescent="0.2">
      <c r="B7" s="421" t="s">
        <v>310</v>
      </c>
      <c r="C7" s="403">
        <v>18</v>
      </c>
      <c r="D7" s="404">
        <v>5</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23</v>
      </c>
      <c r="G7" s="407">
        <f>SUM('Pt 1 Summary of Data'!I$37:I$41)+MAX(0,MIN(VALUE('Pt 1 Summary of Data'!I$42),0.3%*('Pt 1 Summary of Data'!I$5-SUM(G$9:G$10))))</f>
        <v>0</v>
      </c>
      <c r="H7" s="403">
        <v>1562</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1562</v>
      </c>
      <c r="L7" s="407">
        <f>SUM('Pt 1 Summary of Data'!O$37:O$41)+MAX(0,MIN(VALUE('Pt 1 Summary of Data'!O$42),0.3%*('Pt 1 Summary of Data'!O$5-L$10)))</f>
        <v>0</v>
      </c>
      <c r="M7" s="403">
        <v>209391</v>
      </c>
      <c r="N7" s="404">
        <v>40265</v>
      </c>
      <c r="O7" s="406">
        <f>SUM('Pt 1 Summary of Data'!Q$37:Q$41)+SUM('Pt 1 Summary of Data'!S$37:S$41)-SUM('Pt 1 Summary of Data'!T$37:T$41)+MAX(0,MIN('Pt 1 Summary of Data'!Q$42+'Pt 1 Summary of Data'!S$42-'Pt 1 Summary of Data'!T$42,0.3%*('Pt 1 Summary of Data'!Q$5+'Pt 1 Summary of Data'!S$5-'Pt 1 Summary of Data'!T$5)))</f>
        <v>-1069</v>
      </c>
      <c r="P7" s="406">
        <f>SUM(M7:O7)</f>
        <v>248587</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-5438</v>
      </c>
      <c r="D12" s="406">
        <f>SUM(D$6:D$7) - SUM(D$8:D$11)+IF(AND(OR('Company Information'!$C$12="District of Columbia",'Company Information'!$C$12="Massachusetts",'Company Information'!$C$12="Vermont"),SUM($C$6:$F$11,$C$15:$F$16,$C$38:$D$38)&lt;&gt;0),SUM(I$6:I$7) - SUM(I$10:I$11),0)</f>
        <v>-5156</v>
      </c>
      <c r="E12" s="406">
        <f>SUM(E$6:E$7)-SUM(E$8:E$11)+IF(AND(OR('Company Information'!$C$12="District of Columbia",'Company Information'!$C$12="Massachusetts",'Company Information'!$C$12="Vermont"),SUM($C$6:$F$11,$C$15:$F$16,$C$38:$D$38)&lt;&gt;0),SUM(J$6:J$7)-SUM(J$10:J$11),0)</f>
        <v>-9</v>
      </c>
      <c r="F12" s="406">
        <f>IFERROR(SUM(C$12:E$12)+C$17*MAX(0,E$50-C$50)+D$17*MAX(0,E$50-D$50),0)</f>
        <v>-10603</v>
      </c>
      <c r="G12" s="453"/>
      <c r="H12" s="405">
        <f>SUM(H$6:H$7)+IF(AND(OR('Company Information'!$C$12="District of Columbia",'Company Information'!$C$12="Massachusetts",'Company Information'!$C$12="Vermont"),SUM($H$6:$K$11,$H$15:$K$16,$H$38:$I$38)&lt;&gt;0),SUM(C$6:C$7),0)</f>
        <v>399220</v>
      </c>
      <c r="I12" s="406">
        <f>SUM(I$6:I$7) - SUM(I$10:I$11)+IF(AND(OR('Company Information'!$C$12="District of Columbia",'Company Information'!$C$12="Massachusetts",'Company Information'!$C$12="Vermont"),SUM($H$6:$K$11,$H$15:$K$16,$H$38:$I$38)&lt;&gt;0),SUM(D$6:D$7) - SUM(D$8:D$11),0)</f>
        <v>-758</v>
      </c>
      <c r="J12" s="406">
        <f>SUM(J$6:J$7)-SUM(J$10:J$11)+IF(AND(OR('Company Information'!$C$12="District of Columbia",'Company Information'!$C$12="Massachusetts",'Company Information'!$C$12="Vermont"),SUM($H$6:$K$11,$H$15:$K$16,$H$38:$I$38)&lt;&gt;0),SUM(E$6:E$7)-SUM(E$8:E$11),0)</f>
        <v>0</v>
      </c>
      <c r="K12" s="406">
        <f>IFERROR(SUM(H$12:J$12)+H$17*MAX(0,J$50-H$50)+I$17*MAX(0,J$50-I$50),0)</f>
        <v>398462</v>
      </c>
      <c r="L12" s="453"/>
      <c r="M12" s="405">
        <f>SUM(M$6:M$7)</f>
        <v>29301629</v>
      </c>
      <c r="N12" s="406">
        <f>SUM(N$6:N$7)</f>
        <v>24050768</v>
      </c>
      <c r="O12" s="406">
        <f>SUM(O$6:O$7)</f>
        <v>-336805</v>
      </c>
      <c r="P12" s="406">
        <f>SUM(M$12:O$12)+M$17*MAX(0,O$50-M$50)+N$17*MAX(0,O$50-N$50)</f>
        <v>53015592</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1402668</v>
      </c>
      <c r="Z13" s="406">
        <f>1.25*SUM(Z$6:Z$7)</f>
        <v>266.25</v>
      </c>
      <c r="AA13" s="406">
        <f>SUM(AA$6:AA$7)</f>
        <v>0</v>
      </c>
      <c r="AB13" s="406">
        <f>SUM(AB$6:AB$7)+Y$17*MAX(0,AA$50-Y$50)+Z$17*MAX(0,AA$50-Z$50)</f>
        <v>935325</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578</v>
      </c>
      <c r="D15" s="409">
        <v>-41</v>
      </c>
      <c r="E15" s="401">
        <f>SUM('Pt 1 Summary of Data'!E$5:E$7)+SUM('Pt 1 Summary of Data'!G$5:G$7)-SUM('Pt 1 Summary of Data'!H$5:H$7)-SUM(E$9:E$11)</f>
        <v>165</v>
      </c>
      <c r="F15" s="401">
        <f>SUM(C15:E15)</f>
        <v>702</v>
      </c>
      <c r="G15" s="402">
        <f>SUM('Pt 1 Summary of Data'!I$5:I$7)-SUM(G$9:G$10)</f>
        <v>0</v>
      </c>
      <c r="H15" s="408">
        <v>324075</v>
      </c>
      <c r="I15" s="409">
        <v>0</v>
      </c>
      <c r="J15" s="401">
        <f>SUM('Pt 1 Summary of Data'!K$5:K$7)+SUM('Pt 1 Summary of Data'!M$5:M$7)-SUM('Pt 1 Summary of Data'!N$5:N$7)-SUM(J$10:J$11)</f>
        <v>0</v>
      </c>
      <c r="K15" s="401">
        <f>SUM(H15:J15)</f>
        <v>324075</v>
      </c>
      <c r="L15" s="402">
        <f>SUM('Pt 1 Summary of Data'!O$5:O$7)-L$10</f>
        <v>0</v>
      </c>
      <c r="M15" s="408">
        <v>41335354</v>
      </c>
      <c r="N15" s="409">
        <v>28157493</v>
      </c>
      <c r="O15" s="401">
        <f>SUM('Pt 1 Summary of Data'!Q$5:Q$7)+SUM('Pt 1 Summary of Data'!S$5:S$7)-SUM('Pt 1 Summary of Data'!T$5:T$7)+N$56</f>
        <v>674475</v>
      </c>
      <c r="P15" s="401">
        <f>SUM(M15:O15)</f>
        <v>70167322</v>
      </c>
      <c r="Q15" s="408">
        <v>0</v>
      </c>
      <c r="R15" s="409">
        <v>0</v>
      </c>
      <c r="S15" s="401">
        <f>SUM('Pt 1 Summary of Data'!V$5:V$7)+R$56</f>
        <v>0</v>
      </c>
      <c r="T15" s="401">
        <f>SUM(Q15:S15)</f>
        <v>0</v>
      </c>
      <c r="U15" s="408">
        <v>0</v>
      </c>
      <c r="V15" s="409">
        <v>0</v>
      </c>
      <c r="W15" s="401">
        <f>SUM('Pt 1 Summary of Data'!Y$5:Y$7)+V$56</f>
        <v>0</v>
      </c>
      <c r="X15" s="401">
        <f>SUM(U15:W15)</f>
        <v>0</v>
      </c>
      <c r="Y15" s="408">
        <v>1801966</v>
      </c>
      <c r="Z15" s="409">
        <v>-30</v>
      </c>
      <c r="AA15" s="401">
        <f>SUM('Pt 1 Summary of Data'!AB$5:AB$7)+Z$56</f>
        <v>0</v>
      </c>
      <c r="AB15" s="401">
        <f>SUM(Y15:AA15)</f>
        <v>1801936</v>
      </c>
      <c r="AC15" s="461"/>
      <c r="AD15" s="460"/>
      <c r="AE15" s="460"/>
      <c r="AF15" s="460"/>
      <c r="AG15" s="461"/>
      <c r="AH15" s="460"/>
      <c r="AI15" s="460"/>
      <c r="AJ15" s="460"/>
      <c r="AK15" s="408"/>
      <c r="AL15" s="409"/>
      <c r="AM15" s="401"/>
      <c r="AN15" s="437"/>
    </row>
    <row r="16" spans="1:40" x14ac:dyDescent="0.2">
      <c r="B16" s="421" t="s">
        <v>311</v>
      </c>
      <c r="C16" s="403">
        <v>8899</v>
      </c>
      <c r="D16" s="404">
        <v>-3030</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960</v>
      </c>
      <c r="F16" s="406">
        <f>SUM(C16:E16)</f>
        <v>6829</v>
      </c>
      <c r="G16" s="407">
        <f>SUM('Pt 1 Summary of Data'!I$25:I$28,'Pt 1 Summary of Data'!I$30,'Pt 1 Summary of Data'!I$34:I$35)+IF('Company Information'!$C$15="No",IF(MAX('Pt 1 Summary of Data'!I$31:I$32)=0,MIN('Pt 1 Summary of Data'!I$31:I$32),MAX('Pt 1 Summary of Data'!I$31:I$32)),SUM('Pt 1 Summary of Data'!I$31:I$32))</f>
        <v>0</v>
      </c>
      <c r="H16" s="403">
        <v>-61514</v>
      </c>
      <c r="I16" s="404">
        <v>-1677</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-63191</v>
      </c>
      <c r="L16" s="407">
        <f>SUM('Pt 1 Summary of Data'!O$25:O$28,'Pt 1 Summary of Data'!O$30,'Pt 1 Summary of Data'!O$34:O$35)+IF('Company Information'!$C$15="No",IF(MAX('Pt 1 Summary of Data'!O$31:O$32)=0,MIN('Pt 1 Summary of Data'!O$31:O$32),MAX('Pt 1 Summary of Data'!O$31:O$32)),SUM('Pt 1 Summary of Data'!O$31:O$32))</f>
        <v>0</v>
      </c>
      <c r="M16" s="403">
        <v>3781166</v>
      </c>
      <c r="N16" s="404">
        <v>1292060</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930326</v>
      </c>
      <c r="P16" s="406">
        <f>SUM(M16:O16)</f>
        <v>6003552</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214335</v>
      </c>
      <c r="Z16" s="404">
        <v>-5888</v>
      </c>
      <c r="AA16" s="406">
        <f>SUM('Pt 1 Summary of Data'!AB$25:AB$28,'Pt 1 Summary of Data'!AB$30,'Pt 1 Summary of Data'!AB$34:AB$35)+IF('Company Information'!$C$15="No",IF(MAX('Pt 1 Summary of Data'!AB$31:AB$32)=0,MIN('Pt 1 Summary of Data'!AB$31:AB$32),MAX('Pt 1 Summary of Data'!AB$31:AB$32)),SUM('Pt 1 Summary of Data'!AB$31:AB$32))+Z$57</f>
        <v>-1239</v>
      </c>
      <c r="AB16" s="406">
        <f>SUM(Y16:AA16)</f>
        <v>207208</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-8321</v>
      </c>
      <c r="D17" s="406">
        <f>D$15-D$16+IF(AND(OR('Company Information'!$C$12="District of Columbia",'Company Information'!$C$12="Massachusetts",'Company Information'!$C$12="Vermont"),SUM($C$6:$F$11,$C$15:$F$16,$C$38:$D$38)&lt;&gt;0),I$15-I$16,0)</f>
        <v>2989</v>
      </c>
      <c r="E17" s="406">
        <f>E$15-E$16+IF(AND(OR('Company Information'!$C$12="District of Columbia",'Company Information'!$C$12="Massachusetts",'Company Information'!$C$12="Vermont"),SUM($C$6:$F$11,$C$15:$F$16,$C$38:$D$38)&lt;&gt;0),J$15-J$16,0)</f>
        <v>-795</v>
      </c>
      <c r="F17" s="406">
        <f>F$15-F$16+IF(AND(OR('Company Information'!$C$12="District of Columbia",'Company Information'!$C$12="Massachusetts",'Company Information'!$C$12="Vermont"),SUM($C$6:$F$11,$C$15:$F$16,$C$38:$D$38)&lt;&gt;0),K$15-K$16,0)</f>
        <v>-6127</v>
      </c>
      <c r="G17" s="456"/>
      <c r="H17" s="405">
        <f>H$15-H$16+IF(AND(OR('Company Information'!$C$12="District of Columbia",'Company Information'!$C$12="Massachusetts",'Company Information'!$C$12="Vermont"),SUM($H$6:$K$11,$H$15:$K$16,$H$38:$I$38)&lt;&gt;0),C$15-C$16,0)</f>
        <v>385589</v>
      </c>
      <c r="I17" s="406">
        <f>I$15-I$16+IF(AND(OR('Company Information'!$C$12="District of Columbia",'Company Information'!$C$12="Massachusetts",'Company Information'!$C$12="Vermont"),SUM($H$6:$K$11,$H$15:$K$16,$H$38:$I$38)&lt;&gt;0),D$15-D$16,0)</f>
        <v>1677</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387266</v>
      </c>
      <c r="L17" s="456"/>
      <c r="M17" s="405">
        <f>M$15-M$16</f>
        <v>37554188</v>
      </c>
      <c r="N17" s="406">
        <f>N$15-N$16</f>
        <v>26865433</v>
      </c>
      <c r="O17" s="406">
        <f>O$15-O$16</f>
        <v>-255851</v>
      </c>
      <c r="P17" s="406">
        <f>P$15-P$16</f>
        <v>64163770</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1587631</v>
      </c>
      <c r="Z17" s="406">
        <f>Z$15-Z$16</f>
        <v>5858</v>
      </c>
      <c r="AA17" s="406">
        <f>AA$15-AA$16</f>
        <v>1239</v>
      </c>
      <c r="AB17" s="406">
        <f>AB$15-AB$16</f>
        <v>1594728</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2</v>
      </c>
      <c r="G38" s="454"/>
      <c r="H38" s="410">
        <v>64</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64</v>
      </c>
      <c r="L38" s="454"/>
      <c r="M38" s="410">
        <v>9112.3166999999994</v>
      </c>
      <c r="N38" s="411">
        <v>4941.3967000000002</v>
      </c>
      <c r="O38" s="438">
        <f>('Pt 1 Summary of Data'!Q$59+'Pt 1 Summary of Data'!S$59-'Pt 1 Summary of Data'!T$59)/12</f>
        <v>13.583333333333334</v>
      </c>
      <c r="P38" s="438">
        <f>SUM(M$38:O$38)</f>
        <v>14067.296733333334</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2282.25</v>
      </c>
      <c r="Z38" s="411">
        <v>0</v>
      </c>
      <c r="AA38" s="438">
        <f>'Pt 1 Summary of Data'!AB$59/12</f>
        <v>0</v>
      </c>
      <c r="AB38" s="438">
        <f>SUM(Y$38:AA$38)</f>
        <v>2282.25</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2.3288468844444445E-2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5.6500166666666671E-2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2.3288468844444445E-2</v>
      </c>
      <c r="Q42" s="449"/>
      <c r="R42" s="447"/>
      <c r="S42" s="447"/>
      <c r="T42" s="442">
        <f>IF(OR(T$38&lt;1000,T$38&gt;=75000),0,T$39*T$41)</f>
        <v>0</v>
      </c>
      <c r="U42" s="449"/>
      <c r="V42" s="447"/>
      <c r="W42" s="447"/>
      <c r="X42" s="442">
        <f>IF(OR(X$38&lt;1000,X$38&gt;=75000),0,X$39*X$41)</f>
        <v>0</v>
      </c>
      <c r="Y42" s="449"/>
      <c r="Z42" s="447"/>
      <c r="AA42" s="447"/>
      <c r="AB42" s="442">
        <f ca="1">IF(OR(AB$38&lt;1000,AB$38&gt;=75000),0,AB$39*AB$41)</f>
        <v>5.6500166666666671E-2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0.78024930268762571</v>
      </c>
      <c r="N45" s="442">
        <f>IF(OR(N$38&lt;1000,N$17&lt;=0),"",N$12/N$17)</f>
        <v>0.89523098324899508</v>
      </c>
      <c r="O45" s="442" t="str">
        <f>IF(OR(O$38&lt;1000,O$17&lt;=0),"",O$12/O$17)</f>
        <v/>
      </c>
      <c r="P45" s="442">
        <f>IF(OR(P$38&lt;1000,P$17&lt;=0),"",P$12/P$17)</f>
        <v>0.82625431766244406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f>IF(OR(Y$38&lt;1000,Y$17&lt;=0),"",Y$13/Y$17)</f>
        <v>0.88349748776636383</v>
      </c>
      <c r="Z46" s="442" t="str">
        <f>IF(OR(Z$38&lt;1000,Z$17&lt;=0),"",Z$13/Z$17)</f>
        <v/>
      </c>
      <c r="AA46" s="442" t="str">
        <f>IF(OR(AA$38&lt;1000,AA$17&lt;=0),"",AA$13/AA$17)</f>
        <v/>
      </c>
      <c r="AB46" s="442">
        <f>IF(OR(AB$38&lt;1000,AB$17&lt;=0),"",AB$13/AB$17)</f>
        <v>0.58651067768296539</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2.3288468844444445E-2</v>
      </c>
      <c r="Q47" s="450"/>
      <c r="R47" s="448"/>
      <c r="S47" s="448"/>
      <c r="T47" s="442" t="str">
        <f>IF(T$46="","",T$42)</f>
        <v/>
      </c>
      <c r="U47" s="450"/>
      <c r="V47" s="448"/>
      <c r="W47" s="448"/>
      <c r="X47" s="442" t="str">
        <f>IF(X$46="","",X$42)</f>
        <v/>
      </c>
      <c r="Y47" s="450"/>
      <c r="Z47" s="448"/>
      <c r="AA47" s="448"/>
      <c r="AB47" s="442">
        <f ca="1">IF(AB$46="","",AB$42)</f>
        <v>5.6500166666666671E-2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0.85</v>
      </c>
      <c r="Q48" s="449"/>
      <c r="R48" s="447"/>
      <c r="S48" s="447"/>
      <c r="T48" s="442" t="str">
        <f>IF(T$46="","",ROUND(T$46+MAX(0,T$47),3))</f>
        <v/>
      </c>
      <c r="U48" s="449"/>
      <c r="V48" s="447"/>
      <c r="W48" s="447"/>
      <c r="X48" s="442" t="str">
        <f>IF(X$46="","",ROUND(X$46+MAX(0,X$47),3))</f>
        <v/>
      </c>
      <c r="Y48" s="449"/>
      <c r="Z48" s="447"/>
      <c r="AA48" s="447"/>
      <c r="AB48" s="442">
        <f ca="1">IF(AB$46="","",ROUND(AB$46+MAX(0,AB$47),3))</f>
        <v>0.64300000000000002</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0.85</v>
      </c>
      <c r="Q51" s="450"/>
      <c r="R51" s="448"/>
      <c r="S51" s="448"/>
      <c r="T51" s="442" t="str">
        <f>T$48</f>
        <v/>
      </c>
      <c r="U51" s="450"/>
      <c r="V51" s="448"/>
      <c r="W51" s="448"/>
      <c r="X51" s="442" t="str">
        <f>X$48</f>
        <v/>
      </c>
      <c r="Y51" s="450"/>
      <c r="Z51" s="448"/>
      <c r="AA51" s="448"/>
      <c r="AB51" s="442">
        <f ca="1">AB$48</f>
        <v>0.64300000000000002</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0</v>
      </c>
      <c r="Q52" s="449"/>
      <c r="R52" s="447"/>
      <c r="S52" s="447"/>
      <c r="T52" s="406" t="str">
        <f>IF(T$38&lt;1000,"",MAX(0,S$15-S$16))</f>
        <v/>
      </c>
      <c r="U52" s="449"/>
      <c r="V52" s="447"/>
      <c r="W52" s="447"/>
      <c r="X52" s="406" t="str">
        <f>IF(X$38&lt;1000,"",MAX(0,W$15-W$16))</f>
        <v/>
      </c>
      <c r="Y52" s="449"/>
      <c r="Z52" s="447"/>
      <c r="AA52" s="447"/>
      <c r="AB52" s="406">
        <f>IF(AB$38&lt;1000,"",MAX(0,AA$15-AA$16))</f>
        <v>1239</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 ca="1">IF(OR(AB$38&lt;1000,AB$17&lt;=0),0,MAX(0,AB$50-AB$51)*AB$52)</f>
        <v>256.47299999999996</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143259</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59460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 ca="1">'Pt 3 MLR and Rebate Calculation'!$AB$53</f>
        <v>256.47299999999996</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509</v>
      </c>
      <c r="D23" s="5"/>
      <c r="E23" s="5"/>
      <c r="F23" s="5"/>
      <c r="G23" s="5"/>
      <c r="H23" s="5"/>
      <c r="I23" s="5"/>
      <c r="J23" s="5"/>
      <c r="K23" s="4"/>
    </row>
    <row r="24" spans="2:12" s="11" customFormat="1" ht="100.15" customHeight="1" x14ac:dyDescent="0.2">
      <c r="B24" s="96" t="s">
        <v>213</v>
      </c>
      <c r="C24" s="3" t="s">
        <v>509</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2016-07-28T17:32:31Z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