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44" i="10" s="1"/>
  <c r="M12" i="10"/>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E15" i="10" l="1"/>
  <c r="K15" i="10"/>
  <c r="K37" i="10"/>
  <c r="X37" i="10"/>
  <c r="J6" i="10"/>
  <c r="X6" i="10"/>
  <c r="L25" i="10"/>
  <c r="P15" i="10"/>
  <c r="P17" i="10" s="1"/>
  <c r="O17" i="10"/>
  <c r="L20" i="10"/>
  <c r="L19" i="10"/>
  <c r="L24" i="10" s="1"/>
  <c r="L23" i="10" s="1"/>
  <c r="T37" i="10"/>
  <c r="AB37" i="10"/>
  <c r="F6" i="10"/>
  <c r="P6" i="10"/>
  <c r="L29" i="10"/>
  <c r="L21" i="10"/>
  <c r="L28" i="10"/>
  <c r="AB13" i="10"/>
  <c r="O44" i="10"/>
  <c r="P37" i="10"/>
  <c r="T6" i="10"/>
  <c r="S13" i="10"/>
  <c r="T15" i="10"/>
  <c r="T17" i="10" s="1"/>
  <c r="F37" i="10"/>
  <c r="AA13" i="10"/>
  <c r="AB6" i="10"/>
  <c r="J7" i="10"/>
  <c r="K7" i="10" s="1"/>
  <c r="S7" i="10"/>
  <c r="T7" i="10" s="1"/>
  <c r="AA15" i="10"/>
  <c r="E7" i="10"/>
  <c r="F7" i="10" s="1"/>
  <c r="O7" i="10"/>
  <c r="P7" i="10" s="1"/>
  <c r="W15" i="10"/>
  <c r="G7" i="10"/>
  <c r="G21" i="10" s="1"/>
  <c r="C17" i="10" l="1"/>
  <c r="G25" i="10"/>
  <c r="W17" i="10"/>
  <c r="W45" i="10" s="1"/>
  <c r="X15" i="10"/>
  <c r="F51" i="10"/>
  <c r="F52" i="10" s="1"/>
  <c r="C11" i="16" s="1"/>
  <c r="F46" i="10"/>
  <c r="F41" i="10"/>
  <c r="R13" i="10"/>
  <c r="O12" i="10"/>
  <c r="P12" i="10" s="1"/>
  <c r="P44" i="10" s="1"/>
  <c r="AB41" i="10"/>
  <c r="AB46" i="10" s="1"/>
  <c r="AB51" i="10"/>
  <c r="AB38" i="10"/>
  <c r="L27" i="10"/>
  <c r="G20" i="10"/>
  <c r="W13" i="10"/>
  <c r="K6" i="10"/>
  <c r="I17" i="10" s="1"/>
  <c r="I44" i="10" s="1"/>
  <c r="K51" i="10"/>
  <c r="K52" i="10" s="1"/>
  <c r="D11" i="16" s="1"/>
  <c r="K46" i="10"/>
  <c r="K41" i="10"/>
  <c r="G28" i="10"/>
  <c r="G29" i="10"/>
  <c r="AA17" i="10"/>
  <c r="AA45" i="10" s="1"/>
  <c r="AB15" i="10"/>
  <c r="AB17" i="10" s="1"/>
  <c r="AB45" i="10" s="1"/>
  <c r="AB47" i="10" s="1"/>
  <c r="AB50" i="10" s="1"/>
  <c r="G19" i="10"/>
  <c r="Q17" i="10"/>
  <c r="Q13" i="10"/>
  <c r="E12" i="10"/>
  <c r="T51" i="10"/>
  <c r="T52" i="10" s="1"/>
  <c r="F11" i="16" s="1"/>
  <c r="T46" i="10"/>
  <c r="T38" i="10"/>
  <c r="T45" i="10"/>
  <c r="T47" i="10" s="1"/>
  <c r="T50" i="10" s="1"/>
  <c r="T41" i="10"/>
  <c r="X41" i="10"/>
  <c r="X51" i="10"/>
  <c r="X52" i="10" s="1"/>
  <c r="G11" i="16" s="1"/>
  <c r="X46" i="10"/>
  <c r="X38" i="10"/>
  <c r="S17" i="10"/>
  <c r="S45" i="10" s="1"/>
  <c r="R17" i="10"/>
  <c r="R45" i="10" s="1"/>
  <c r="P51" i="10"/>
  <c r="P38" i="10"/>
  <c r="P41" i="10" s="1"/>
  <c r="P46" i="10" s="1"/>
  <c r="D12" i="10"/>
  <c r="U13" i="10"/>
  <c r="F15" i="10"/>
  <c r="F17" i="10" s="1"/>
  <c r="F44" i="10" s="1"/>
  <c r="F47" i="10" s="1"/>
  <c r="F50" i="10" s="1"/>
  <c r="E17" i="10"/>
  <c r="E44" i="10" s="1"/>
  <c r="P47" i="10" l="1"/>
  <c r="P50" i="10" s="1"/>
  <c r="L31" i="10"/>
  <c r="L32" i="10" s="1"/>
  <c r="L33" i="10" s="1"/>
  <c r="L26" i="10"/>
  <c r="L30" i="10" s="1"/>
  <c r="P52" i="10"/>
  <c r="E11" i="16" s="1"/>
  <c r="Q45" i="10"/>
  <c r="T13" i="10"/>
  <c r="H12" i="10"/>
  <c r="J12" i="10"/>
  <c r="C12" i="10"/>
  <c r="AB52" i="10"/>
  <c r="H11" i="16" s="1"/>
  <c r="F12" i="10"/>
  <c r="C44" i="10"/>
  <c r="J17" i="10"/>
  <c r="J44" i="10" s="1"/>
  <c r="I12" i="10"/>
  <c r="H17" i="10"/>
  <c r="K17" i="10"/>
  <c r="K44" i="10" s="1"/>
  <c r="K47" i="10" s="1"/>
  <c r="K50" i="10" s="1"/>
  <c r="G24" i="10"/>
  <c r="G23" i="10" s="1"/>
  <c r="G27" i="10" s="1"/>
  <c r="D17" i="10"/>
  <c r="D44" i="10" s="1"/>
  <c r="X17" i="10"/>
  <c r="X45" i="10" s="1"/>
  <c r="X47" i="10" s="1"/>
  <c r="X50" i="10" s="1"/>
  <c r="V13" i="10"/>
  <c r="V17" i="10"/>
  <c r="V45" i="10" s="1"/>
  <c r="U17" i="10"/>
  <c r="G26" i="10" l="1"/>
  <c r="G30" i="10" s="1"/>
  <c r="G31" i="10"/>
  <c r="G32" i="10" s="1"/>
  <c r="G33" i="10" s="1"/>
  <c r="H44" i="10"/>
  <c r="K38" i="10" s="1"/>
  <c r="K12" i="10"/>
  <c r="U45" i="10"/>
  <c r="X13" i="10"/>
  <c r="F38"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<sst xmlns="http://schemas.openxmlformats.org/spreadsheetml/2006/main" count="570" uniqueCount="508">
  <si>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</si>
  <si>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</si>
  <si>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</si>
  <si>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</si>
  <si>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</si>
  <si>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</si>
  <si>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</si>
  <si>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</si>
  <si>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</si>
  <si>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</si>
  <si>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</si>
  <si>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</si>
  <si>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</si>
  <si>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</si>
  <si>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</si>
  <si>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</si>
  <si>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</si>
  <si>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</si>
  <si>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</si>
  <si>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</si>
  <si>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</si>
  <si>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</si>
  <si>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</si>
  <si>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</si>
  <si>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</si>
  <si>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</si>
  <si>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</si>
  <si>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</si>
  <si>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</si>
  <si>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</si>
  <si>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</si>
  <si>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</si>
  <si>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</si>
  <si>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</si>
  <si>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</si>
  <si>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</si>
  <si>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</si>
  <si>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</si>
  <si>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</si>
  <si>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</si>
  <si>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</si>
  <si>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</si>
  <si>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</si>
  <si>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</si>
  <si>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</si>
  <si>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</si>
  <si>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</si>
  <si>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</si>
  <si>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</si>
  <si>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</si>
  <si>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</si>
  <si>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</si>
  <si>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</si>
  <si>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</si>
  <si>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</si>
  <si>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</si>
  <si>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</si>
  <si>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</si>
  <si>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</si>
  <si>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</si>
  <si>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</si>
  <si>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</si>
  <si>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</si>
  <si>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</si>
  <si>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</si>
  <si>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</si>
  <si>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</si>
  <si>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</si>
  <si>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</si>
  <si>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</si>
  <si>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</si>
  <si>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</si>
  <si>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</si>
  <si>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</si>
  <si>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</si>
  <si>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</si>
  <si>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</si>
  <si>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</si>
  <si>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</si>
  <si>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</si>
  <si>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</si>
  <si>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</si>
  <si>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</si>
  <si>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</si>
  <si>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</si>
  <si>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</si>
  <si>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</si>
  <si>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</si>
  <si>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</si>
  <si>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</si>
  <si>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</si>
  <si>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</si>
  <si>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</si>
  <si>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</si>
  <si>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</si>
  <si>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</si>
  <si>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</si>
  <si>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</si>
  <si>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</si>
  <si>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</si>
  <si>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</si>
  <si>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</si>
  <si>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</si>
  <si>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</si>
  <si>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</si>
  <si>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</si>
  <si>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</si>
  <si>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</si>
  <si>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</si>
  <si>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</si>
  <si>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</si>
  <si>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</si>
  <si>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</si>
  <si>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</si>
  <si>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</si>
  <si>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</si>
  <si>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</si>
  <si>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</si>
  <si>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</si>
  <si>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</si>
  <si>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</si>
  <si>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</si>
  <si>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</si>
  <si>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</si>
  <si>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</si>
  <si>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</si>
  <si>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</si>
  <si>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</si>
  <si>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</si>
  <si>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</si>
  <si>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</si>
  <si>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</si>
  <si>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</si>
  <si>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</si>
  <si>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</si>
  <si>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</si>
  <si>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</si>
  <si>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</si>
  <si>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</si>
  <si>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</si>
  <si>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</si>
  <si>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</si>
  <si>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</si>
  <si>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</si>
  <si>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</si>
  <si>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</si>
  <si>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</si>
  <si>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</si>
  <si>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</si>
  <si>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</si>
  <si>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</si>
  <si>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</si>
  <si>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</si>
  <si>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</si>
  <si>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</si>
  <si>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</si>
  <si>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</si>
  <si>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</si>
  <si>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</si>
  <si>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</si>
  <si>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</si>
  <si>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</si>
  <si>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</si>
  <si>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</si>
  <si>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</si>
  <si>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</si>
  <si>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</si>
  <si>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</si>
  <si>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</si>
  <si>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</si>
  <si>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</si>
  <si>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</si>
  <si>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</si>
  <si>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</si>
  <si>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</si>
  <si>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</si>
  <si>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</si>
  <si>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</si>
  <si>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</si>
  <si>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</si>
  <si>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</si>
  <si>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</si>
  <si>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</si>
  <si>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</si>
  <si>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</si>
  <si>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</si>
  <si>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</si>
  <si>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</si>
  <si>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</si>
  <si>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</si>
  <si>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</si>
  <si>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</si>
  <si>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</si>
  <si>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</si>
  <si>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</si>
  <si>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</si>
  <si>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</si>
  <si>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</si>
  <si>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</si>
  <si>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</si>
  <si>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</si>
  <si>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</si>
  <si>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</si>
  <si>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</si>
  <si>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</si>
  <si>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</si>
  <si>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</si>
  <si>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</si>
  <si>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</si>
  <si>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</si>
  <si>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</si>
  <si>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</si>
  <si>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</si>
  <si>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</si>
  <si>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</si>
  <si>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</si>
  <si>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</si>
  <si>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</si>
  <si>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</si>
  <si>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</si>
  <si>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</si>
  <si>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</si>
  <si>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</si>
  <si>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</si>
  <si>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</si>
  <si>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</si>
  <si>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</si>
  <si>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</si>
  <si>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</si>
  <si>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</si>
  <si>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</si>
  <si>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</si>
  <si>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</si>
  <si>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</si>
  <si>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</si>
  <si>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</si>
  <si>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</si>
  <si>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</si>
  <si>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</si>
  <si>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</si>
  <si>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</si>
  <si>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</si>
  <si>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</si>
  <si>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</si>
  <si>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</si>
  <si>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</si>
  <si>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</si>
  <si>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</si>
  <si>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</si>
  <si>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</si>
  <si>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</si>
  <si>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</si>
  <si>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</si>
  <si>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</si>
  <si>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</si>
  <si>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</si>
  <si>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</si>
  <si>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</si>
  <si>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</si>
  <si>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</si>
  <si>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</si>
  <si>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</si>
  <si>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</si>
  <si>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</si>
  <si>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</si>
  <si>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</si>
  <si>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</si>
  <si>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</si>
  <si>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</si>
  <si>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</si>
  <si>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</si>
  <si>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</si>
  <si>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</si>
  <si>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</si>
  <si>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</si>
  <si>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</si>
  <si>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</si>
  <si>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</si>
  <si>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</si>
  <si>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</si>
  <si>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</si>
  <si>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</si>
  <si>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</si>
  <si>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</si>
  <si>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</si>
  <si>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</si>
  <si>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</si>
  <si>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</si>
  <si>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</si>
  <si>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</si>
  <si>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</si>
  <si>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</si>
  <si>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</si>
  <si>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</si>
  <si>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</si>
  <si>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</si>
  <si>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</si>
  <si>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</si>
  <si>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</si>
  <si>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</si>
  <si>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</si>
  <si>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</si>
  <si>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</si>
  <si>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</si>
  <si>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</si>
  <si>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</si>
  <si>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</si>
  <si>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</si>
  <si>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</si>
  <si>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</si>
  <si>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</si>
  <si>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</si>
  <si>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</si>
  <si>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</si>
  <si>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</si>
  <si>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</si>
  <si>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</si>
  <si>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</si>
  <si>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</si>
  <si>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</si>
  <si>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</si>
  <si>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</si>
  <si>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</si>
  <si>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</si>
  <si>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</si>
  <si>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</si>
  <si>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</si>
  <si>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</si>
  <si>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</si>
  <si>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</si>
  <si>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</si>
  <si>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</si>
  <si>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</si>
  <si>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</si>
  <si>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</si>
  <si>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</si>
  <si>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</si>
  <si>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</si>
  <si>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</si>
  <si>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</si>
  <si>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</si>
  <si>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</si>
  <si>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</si>
  <si>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</si>
  <si>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</si>
  <si>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</si>
  <si>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</si>
  <si>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</si>
  <si>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</si>
  <si>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</si>
  <si>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</si>
  <si>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</si>
  <si>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</si>
  <si>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</si>
  <si>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</si>
  <si>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</si>
  <si>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</si>
  <si>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</si>
  <si>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</si>
  <si>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</si>
  <si>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</si>
  <si>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</si>
  <si>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</si>
  <si>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</si>
  <si>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</si>
  <si>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</si>
  <si>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</si>
  <si>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</si>
  <si>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</si>
  <si>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</si>
  <si>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</si>
  <si>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</si>
  <si>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</si>
  <si>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</si>
  <si>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</si>
  <si>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</si>
  <si>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</si>
  <si>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</si>
  <si>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</si>
  <si>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</si>
  <si>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</si>
  <si>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</si>
  <si>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</si>
  <si>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</si>
  <si>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</si>
  <si>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</si>
  <si>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</si>
  <si>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</si>
  <si>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</si>
  <si>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</si>
  <si>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</si>
  <si>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</si>
  <si>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</si>
  <si>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</si>
  <si>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</si>
  <si>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</si>
  <si>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</si>
  <si>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</si>
  <si>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</si>
  <si>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</si>
  <si>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</si>
  <si>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</si>
  <si>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</si>
  <si>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</si>
  <si>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</si>
  <si>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</si>
  <si>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</si>
  <si>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</si>
  <si>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</si>
  <si>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</si>
  <si>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</si>
  <si>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</si>
  <si>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</si>
  <si>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</si>
  <si>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</si>
  <si>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</si>
  <si>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</si>
  <si>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</si>
  <si>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</si>
  <si>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</si>
  <si>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</si>
  <si>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</si>
  <si>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</si>
  <si>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</si>
  <si>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</si>
  <si>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</si>
  <si>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</si>
  <si>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</si>
  <si>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</si>
  <si>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</si>
  <si>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</si>
  <si>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</si>
  <si>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</si>
  <si>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</si>
  <si>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</si>
  <si>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</si>
  <si>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</si>
  <si>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</si>
  <si>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</si>
  <si>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</si>
  <si>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</si>
  <si>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</si>
  <si>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</si>
  <si>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</si>
  <si>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</si>
  <si>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</si>
  <si>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</si>
  <si>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</si>
  <si>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</si>
  <si>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</si>
  <si>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</si>
  <si>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</si>
  <si>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</si>
  <si>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</si>
  <si>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</si>
  <si>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</si>
  <si>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</si>
  <si>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</si>
  <si>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</si>
  <si>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</si>
  <si>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</si>
  <si>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</si>
  <si>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</si>
  <si>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</si>
  <si>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</si>
  <si>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</si>
  <si>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</si>
  <si>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</si>
  <si>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</si>
  <si>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</si>
  <si>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</si>
  <si>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</si>
  <si>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</si>
  <si>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</si>
  <si>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</si>
  <si>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</si>
  <si>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</si>
  <si>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</si>
  <si>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</si>
  <si>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</si>
  <si>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</si>
  <si>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</si>
  <si>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</si>
  <si>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</si>
  <si>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</si>
  <si>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</si>
  <si>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</si>
  <si>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</si>
  <si>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</si>
  <si>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</si>
  <si>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</si>
  <si>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</si>
  <si>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</si>
  <si>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</si>
  <si>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</si>
  <si>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</si>
  <si>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</si>
  <si>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</si>
  <si>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</si>
  <si>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</si>
  <si>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</si>
  <si>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</si>
  <si>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</si>
  <si>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45074</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</si>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</sst>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174</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29860</v>
      </c>
      <c r="E5" s="112">
        <f>'Pt 2 Premium and Claims'!E5+'Pt 2 Premium and Claims'!E6-'Pt 2 Premium and Claims'!E7-'Pt 2 Premium and Claims'!E13+'Pt 2 Premium and Claims'!E14+'Pt 2 Premium and Claims'!E15+'Pt 2 Premium and Claims'!E16+'Pt 2 Premium and Claims'!E17</f>
        <v>30414</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-44084</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337809</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232</v>
      </c>
      <c r="E7" s="116">
        <f>D7</f>
        <v>232</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-344</v>
      </c>
      <c r="AB7" s="116">
        <f>AA7</f>
        <v>-344</v>
      </c>
      <c r="AC7" s="116"/>
      <c r="AD7" s="115"/>
      <c r="AE7" s="297"/>
      <c r="AF7" s="297"/>
      <c r="AG7" s="297"/>
      <c r="AH7" s="297"/>
      <c r="AI7" s="115"/>
      <c r="AJ7" s="297"/>
      <c r="AK7" s="297"/>
      <c r="AL7" s="297"/>
      <c r="AM7" s="297"/>
      <c r="AN7" s="115"/>
      <c r="AO7" s="116"/>
      <c r="AP7" s="116"/>
      <c r="AQ7" s="116"/>
      <c r="AR7" s="116"/>
      <c r="AS7" s="115">
        <v>0</v>
      </c>
      <c r="AT7" s="119">
        <v>2630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4839</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287217</v>
      </c>
      <c r="E12" s="112">
        <f>'Pt 2 Premium and Claims'!E54</f>
        <v>252873</v>
      </c>
      <c r="F12" s="112"/>
      <c r="G12" s="112"/>
      <c r="H12" s="112"/>
      <c r="I12" s="111">
        <f>'Pt 2 Premium and Claims'!I54</f>
        <v>0</v>
      </c>
      <c r="J12" s="111">
        <f>'Pt 2 Premium and Claims'!J54</f>
        <v>-9</v>
      </c>
      <c r="K12" s="112">
        <f>'Pt 2 Premium and Claims'!K54</f>
        <v>0</v>
      </c>
      <c r="L12" s="112"/>
      <c r="M12" s="112"/>
      <c r="N12" s="112"/>
      <c r="O12" s="111">
        <f>'Pt 2 Premium and Claims'!O54</f>
        <v>0</v>
      </c>
      <c r="P12" s="111">
        <f>'Pt 2 Premium and Claims'!P54</f>
        <v>-143912</v>
      </c>
      <c r="Q12" s="112">
        <f>'Pt 2 Premium and Claims'!Q54</f>
        <v>-3203</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-15592</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-2424</v>
      </c>
      <c r="AT12" s="113">
        <f>'Pt 2 Premium and Claims'!AT54</f>
        <v>1069899</v>
      </c>
      <c r="AU12" s="113">
        <f>'Pt 2 Premium and Claims'!AU54</f>
        <v>0</v>
      </c>
      <c r="AV12" s="318"/>
      <c r="AW12" s="323"/>
    </row>
    <row r="13" spans="1:49" ht="25.5" x14ac:dyDescent="0.2">
      <c r="B13" s="161" t="s">
        <v>230</v>
      </c>
      <c r="C13" s="68" t="s">
        <v>37</v>
      </c>
      <c r="D13" s="115">
        <v>1727</v>
      </c>
      <c r="E13" s="116">
        <v>1751</v>
      </c>
      <c r="F13" s="116"/>
      <c r="G13" s="295"/>
      <c r="H13" s="296"/>
      <c r="I13" s="115">
        <v>0</v>
      </c>
      <c r="J13" s="115">
        <v>0</v>
      </c>
      <c r="K13" s="116">
        <v>0</v>
      </c>
      <c r="L13" s="116"/>
      <c r="M13" s="295"/>
      <c r="N13" s="296"/>
      <c r="O13" s="115">
        <v>0</v>
      </c>
      <c r="P13" s="115">
        <v>69</v>
      </c>
      <c r="Q13" s="116">
        <v>0</v>
      </c>
      <c r="R13" s="116"/>
      <c r="S13" s="295"/>
      <c r="T13" s="296"/>
      <c r="U13" s="115">
        <v>0</v>
      </c>
      <c r="V13" s="116">
        <v>0</v>
      </c>
      <c r="W13" s="116"/>
      <c r="X13" s="115">
        <v>0</v>
      </c>
      <c r="Y13" s="116">
        <v>0</v>
      </c>
      <c r="Z13" s="116"/>
      <c r="AA13" s="115">
        <v>-3587</v>
      </c>
      <c r="AB13" s="116">
        <v>0</v>
      </c>
      <c r="AC13" s="116"/>
      <c r="AD13" s="115"/>
      <c r="AE13" s="297"/>
      <c r="AF13" s="297"/>
      <c r="AG13" s="297"/>
      <c r="AH13" s="297"/>
      <c r="AI13" s="115"/>
      <c r="AJ13" s="297"/>
      <c r="AK13" s="297"/>
      <c r="AL13" s="297"/>
      <c r="AM13" s="297"/>
      <c r="AN13" s="115"/>
      <c r="AO13" s="116"/>
      <c r="AP13" s="116"/>
      <c r="AQ13" s="295"/>
      <c r="AR13" s="296"/>
      <c r="AS13" s="115">
        <v>9030</v>
      </c>
      <c r="AT13" s="119">
        <v>0</v>
      </c>
      <c r="AU13" s="119">
        <v>0</v>
      </c>
      <c r="AV13" s="317"/>
      <c r="AW13" s="324"/>
    </row>
    <row r="14" spans="1:49" ht="25.5" x14ac:dyDescent="0.2">
      <c r="B14" s="161" t="s">
        <v>231</v>
      </c>
      <c r="C14" s="68" t="s">
        <v>6</v>
      </c>
      <c r="D14" s="115">
        <v>1264</v>
      </c>
      <c r="E14" s="116">
        <v>616</v>
      </c>
      <c r="F14" s="116"/>
      <c r="G14" s="294"/>
      <c r="H14" s="297"/>
      <c r="I14" s="115">
        <v>0</v>
      </c>
      <c r="J14" s="115">
        <v>0</v>
      </c>
      <c r="K14" s="116">
        <v>0</v>
      </c>
      <c r="L14" s="116"/>
      <c r="M14" s="294"/>
      <c r="N14" s="297"/>
      <c r="O14" s="115">
        <v>0</v>
      </c>
      <c r="P14" s="115">
        <v>0</v>
      </c>
      <c r="Q14" s="116">
        <v>1371</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40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-330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1043</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47876</v>
      </c>
      <c r="E25" s="116">
        <f>D25</f>
        <v>47876</v>
      </c>
      <c r="F25" s="116"/>
      <c r="G25" s="116"/>
      <c r="H25" s="116"/>
      <c r="I25" s="115">
        <v>0</v>
      </c>
      <c r="J25" s="115">
        <v>-4</v>
      </c>
      <c r="K25" s="116">
        <f>J25</f>
        <v>-4</v>
      </c>
      <c r="L25" s="116"/>
      <c r="M25" s="116"/>
      <c r="N25" s="116"/>
      <c r="O25" s="115">
        <v>0</v>
      </c>
      <c r="P25" s="115">
        <v>-26789</v>
      </c>
      <c r="Q25" s="116">
        <f>P25</f>
        <v>-26789</v>
      </c>
      <c r="R25" s="116"/>
      <c r="S25" s="116"/>
      <c r="T25" s="116"/>
      <c r="U25" s="115">
        <v>0</v>
      </c>
      <c r="V25" s="116">
        <f>U25</f>
        <v>0</v>
      </c>
      <c r="W25" s="116"/>
      <c r="X25" s="115">
        <v>0</v>
      </c>
      <c r="Y25" s="116">
        <f>X25</f>
        <v>0</v>
      </c>
      <c r="Z25" s="116"/>
      <c r="AA25" s="115">
        <v>4758</v>
      </c>
      <c r="AB25" s="116">
        <f>AA25</f>
        <v>4758</v>
      </c>
      <c r="AC25" s="116"/>
      <c r="AD25" s="115"/>
      <c r="AE25" s="297"/>
      <c r="AF25" s="297"/>
      <c r="AG25" s="297"/>
      <c r="AH25" s="300"/>
      <c r="AI25" s="115"/>
      <c r="AJ25" s="297"/>
      <c r="AK25" s="297"/>
      <c r="AL25" s="297"/>
      <c r="AM25" s="300"/>
      <c r="AN25" s="115"/>
      <c r="AO25" s="116"/>
      <c r="AP25" s="116"/>
      <c r="AQ25" s="116"/>
      <c r="AR25" s="116"/>
      <c r="AS25" s="115">
        <v>-447</v>
      </c>
      <c r="AT25" s="119">
        <v>136380</v>
      </c>
      <c r="AU25" s="119">
        <v>0</v>
      </c>
      <c r="AV25" s="119">
        <v>1845903</v>
      </c>
      <c r="AW25" s="324"/>
    </row>
    <row r="26" spans="1:49" s="11" customFormat="1" x14ac:dyDescent="0.2">
      <c r="A26" s="41"/>
      <c r="B26" s="164" t="s">
        <v>243</v>
      </c>
      <c r="C26" s="68"/>
      <c r="D26" s="115">
        <v>10</v>
      </c>
      <c r="E26" s="116">
        <f>D26</f>
        <v>10</v>
      </c>
      <c r="F26" s="116"/>
      <c r="G26" s="116"/>
      <c r="H26" s="116"/>
      <c r="I26" s="115">
        <v>0</v>
      </c>
      <c r="J26" s="115">
        <v>0</v>
      </c>
      <c r="K26" s="116">
        <f>J26</f>
        <v>0</v>
      </c>
      <c r="L26" s="116"/>
      <c r="M26" s="116"/>
      <c r="N26" s="116"/>
      <c r="O26" s="115">
        <v>0</v>
      </c>
      <c r="P26" s="115">
        <v>-4</v>
      </c>
      <c r="Q26" s="116">
        <f>P26</f>
        <v>-4</v>
      </c>
      <c r="R26" s="116"/>
      <c r="S26" s="116"/>
      <c r="T26" s="116"/>
      <c r="U26" s="115">
        <v>0</v>
      </c>
      <c r="V26" s="116">
        <f>U26</f>
        <v>0</v>
      </c>
      <c r="W26" s="116"/>
      <c r="X26" s="115">
        <v>0</v>
      </c>
      <c r="Y26" s="116">
        <f>X26</f>
        <v>0</v>
      </c>
      <c r="Z26" s="116"/>
      <c r="AA26" s="115">
        <v>-97</v>
      </c>
      <c r="AB26" s="116">
        <f>AA26</f>
        <v>-97</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221</v>
      </c>
      <c r="E27" s="116">
        <f>D27</f>
        <v>221</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107</v>
      </c>
      <c r="AU27" s="119">
        <v>0</v>
      </c>
      <c r="AV27" s="320"/>
      <c r="AW27" s="324"/>
    </row>
    <row r="28" spans="1:49" s="11" customFormat="1" x14ac:dyDescent="0.2">
      <c r="A28" s="41"/>
      <c r="B28" s="164" t="s">
        <v>245</v>
      </c>
      <c r="C28" s="68"/>
      <c r="D28" s="115">
        <v>19</v>
      </c>
      <c r="E28" s="116">
        <f>D28</f>
        <v>19</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33</v>
      </c>
      <c r="AU28" s="119">
        <v>0</v>
      </c>
      <c r="AV28" s="119">
        <v>190404</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93</v>
      </c>
      <c r="E30" s="116">
        <f>D30</f>
        <v>93</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-137</v>
      </c>
      <c r="AB30" s="116">
        <f>AA30</f>
        <v>-137</v>
      </c>
      <c r="AC30" s="116"/>
      <c r="AD30" s="115"/>
      <c r="AE30" s="297"/>
      <c r="AF30" s="297"/>
      <c r="AG30" s="297"/>
      <c r="AH30" s="297"/>
      <c r="AI30" s="115"/>
      <c r="AJ30" s="297"/>
      <c r="AK30" s="297"/>
      <c r="AL30" s="297"/>
      <c r="AM30" s="297"/>
      <c r="AN30" s="115"/>
      <c r="AO30" s="116"/>
      <c r="AP30" s="116"/>
      <c r="AQ30" s="116"/>
      <c r="AR30" s="116"/>
      <c r="AS30" s="115">
        <v>0</v>
      </c>
      <c r="AT30" s="119">
        <v>1052</v>
      </c>
      <c r="AU30" s="119">
        <v>0</v>
      </c>
      <c r="AV30" s="119">
        <v>6571</v>
      </c>
      <c r="AW30" s="324"/>
    </row>
    <row r="31" spans="1:49" x14ac:dyDescent="0.2">
      <c r="B31" s="164" t="s">
        <v>248</v>
      </c>
      <c r="C31" s="68"/>
      <c r="D31" s="115">
        <v>567</v>
      </c>
      <c r="E31" s="116">
        <f>D31</f>
        <v>567</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-838</v>
      </c>
      <c r="AB31" s="116">
        <f>AA31</f>
        <v>-838</v>
      </c>
      <c r="AC31" s="116"/>
      <c r="AD31" s="115"/>
      <c r="AE31" s="297"/>
      <c r="AF31" s="297"/>
      <c r="AG31" s="297"/>
      <c r="AH31" s="297"/>
      <c r="AI31" s="115"/>
      <c r="AJ31" s="297"/>
      <c r="AK31" s="297"/>
      <c r="AL31" s="297"/>
      <c r="AM31" s="297"/>
      <c r="AN31" s="115"/>
      <c r="AO31" s="116"/>
      <c r="AP31" s="116"/>
      <c r="AQ31" s="116"/>
      <c r="AR31" s="116"/>
      <c r="AS31" s="115">
        <v>0</v>
      </c>
      <c r="AT31" s="119">
        <v>6416</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371</v>
      </c>
      <c r="E34" s="116">
        <f>D34</f>
        <v>371</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-5</v>
      </c>
      <c r="E35" s="116">
        <f>D35</f>
        <v>-5</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-1</v>
      </c>
      <c r="AU35" s="119">
        <v>0</v>
      </c>
      <c r="AV35" s="119">
        <v>49</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31</v>
      </c>
      <c r="E37" s="124">
        <v>31</v>
      </c>
      <c r="F37" s="124"/>
      <c r="G37" s="124"/>
      <c r="H37" s="124"/>
      <c r="I37" s="123">
        <v>0</v>
      </c>
      <c r="J37" s="123">
        <v>0</v>
      </c>
      <c r="K37" s="124">
        <v>0</v>
      </c>
      <c r="L37" s="124"/>
      <c r="M37" s="124"/>
      <c r="N37" s="124"/>
      <c r="O37" s="123">
        <v>0</v>
      </c>
      <c r="P37" s="123">
        <v>0</v>
      </c>
      <c r="Q37" s="124">
        <v>43</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44277</v>
      </c>
      <c r="AW37" s="323"/>
    </row>
    <row r="38" spans="1:49" x14ac:dyDescent="0.2">
      <c r="B38" s="161" t="s">
        <v>255</v>
      </c>
      <c r="C38" s="68" t="s">
        <v>16</v>
      </c>
      <c r="D38" s="115">
        <v>15</v>
      </c>
      <c r="E38" s="116">
        <v>15</v>
      </c>
      <c r="F38" s="116"/>
      <c r="G38" s="116"/>
      <c r="H38" s="116"/>
      <c r="I38" s="115">
        <v>0</v>
      </c>
      <c r="J38" s="115">
        <v>0</v>
      </c>
      <c r="K38" s="116">
        <v>0</v>
      </c>
      <c r="L38" s="116"/>
      <c r="M38" s="116"/>
      <c r="N38" s="116"/>
      <c r="O38" s="115">
        <v>0</v>
      </c>
      <c r="P38" s="115">
        <v>0</v>
      </c>
      <c r="Q38" s="116">
        <v>43</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20041</v>
      </c>
      <c r="AW38" s="324"/>
    </row>
    <row r="39" spans="1:49" x14ac:dyDescent="0.2">
      <c r="B39" s="164" t="s">
        <v>256</v>
      </c>
      <c r="C39" s="68" t="s">
        <v>17</v>
      </c>
      <c r="D39" s="115">
        <v>14</v>
      </c>
      <c r="E39" s="116">
        <v>14</v>
      </c>
      <c r="F39" s="116"/>
      <c r="G39" s="116"/>
      <c r="H39" s="116"/>
      <c r="I39" s="115">
        <v>0</v>
      </c>
      <c r="J39" s="115">
        <v>0</v>
      </c>
      <c r="K39" s="116">
        <v>0</v>
      </c>
      <c r="L39" s="116"/>
      <c r="M39" s="116"/>
      <c r="N39" s="116"/>
      <c r="O39" s="115">
        <v>0</v>
      </c>
      <c r="P39" s="115">
        <v>-1</v>
      </c>
      <c r="Q39" s="116">
        <v>43</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4259</v>
      </c>
      <c r="AW39" s="324"/>
    </row>
    <row r="40" spans="1:49" x14ac:dyDescent="0.2">
      <c r="B40" s="164" t="s">
        <v>257</v>
      </c>
      <c r="C40" s="68" t="s">
        <v>38</v>
      </c>
      <c r="D40" s="115">
        <v>22</v>
      </c>
      <c r="E40" s="116">
        <v>22</v>
      </c>
      <c r="F40" s="116"/>
      <c r="G40" s="116"/>
      <c r="H40" s="116"/>
      <c r="I40" s="115">
        <v>0</v>
      </c>
      <c r="J40" s="115">
        <v>0</v>
      </c>
      <c r="K40" s="116">
        <v>0</v>
      </c>
      <c r="L40" s="116"/>
      <c r="M40" s="116"/>
      <c r="N40" s="116"/>
      <c r="O40" s="115">
        <v>0</v>
      </c>
      <c r="P40" s="115">
        <v>0</v>
      </c>
      <c r="Q40" s="116">
        <v>43</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6447</v>
      </c>
      <c r="AW40" s="324"/>
    </row>
    <row r="41" spans="1:49" s="11" customFormat="1" ht="25.5" x14ac:dyDescent="0.2">
      <c r="A41" s="41"/>
      <c r="B41" s="164" t="s">
        <v>258</v>
      </c>
      <c r="C41" s="68" t="s">
        <v>129</v>
      </c>
      <c r="D41" s="115">
        <v>20</v>
      </c>
      <c r="E41" s="116">
        <v>20</v>
      </c>
      <c r="F41" s="116"/>
      <c r="G41" s="116"/>
      <c r="H41" s="116"/>
      <c r="I41" s="115">
        <v>0</v>
      </c>
      <c r="J41" s="115">
        <v>0</v>
      </c>
      <c r="K41" s="116">
        <v>0</v>
      </c>
      <c r="L41" s="116"/>
      <c r="M41" s="116"/>
      <c r="N41" s="116"/>
      <c r="O41" s="115">
        <v>0</v>
      </c>
      <c r="P41" s="115">
        <v>0</v>
      </c>
      <c r="Q41" s="116">
        <v>43</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101970</v>
      </c>
      <c r="AW41" s="324"/>
    </row>
    <row r="42" spans="1:49" s="11" customFormat="1" ht="24.95" customHeight="1" x14ac:dyDescent="0.2">
      <c r="A42" s="41"/>
      <c r="B42" s="161" t="s">
        <v>259</v>
      </c>
      <c r="C42" s="68" t="s">
        <v>87</v>
      </c>
      <c r="D42" s="115">
        <v>2</v>
      </c>
      <c r="E42" s="116">
        <f>D42</f>
        <v>2</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18644</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138</v>
      </c>
      <c r="E44" s="124">
        <v>137</v>
      </c>
      <c r="F44" s="124"/>
      <c r="G44" s="124"/>
      <c r="H44" s="124"/>
      <c r="I44" s="123">
        <v>0</v>
      </c>
      <c r="J44" s="123">
        <v>-11</v>
      </c>
      <c r="K44" s="124">
        <v>0</v>
      </c>
      <c r="L44" s="124"/>
      <c r="M44" s="124"/>
      <c r="N44" s="124"/>
      <c r="O44" s="123">
        <v>0</v>
      </c>
      <c r="P44" s="123">
        <v>-1489</v>
      </c>
      <c r="Q44" s="124">
        <v>0</v>
      </c>
      <c r="R44" s="124"/>
      <c r="S44" s="124"/>
      <c r="T44" s="124"/>
      <c r="U44" s="123">
        <v>0</v>
      </c>
      <c r="V44" s="124">
        <v>0</v>
      </c>
      <c r="W44" s="124"/>
      <c r="X44" s="123">
        <v>0</v>
      </c>
      <c r="Y44" s="124">
        <v>0</v>
      </c>
      <c r="Z44" s="124"/>
      <c r="AA44" s="123">
        <v>-4646</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513546</v>
      </c>
      <c r="AW44" s="323"/>
    </row>
    <row r="45" spans="1:49" x14ac:dyDescent="0.2">
      <c r="B45" s="167" t="s">
        <v>262</v>
      </c>
      <c r="C45" s="68" t="s">
        <v>19</v>
      </c>
      <c r="D45" s="115">
        <v>-49</v>
      </c>
      <c r="E45" s="116">
        <f>D45</f>
        <v>-49</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-4</v>
      </c>
      <c r="AU45" s="119">
        <v>0</v>
      </c>
      <c r="AV45" s="119">
        <v>-16963</v>
      </c>
      <c r="AW45" s="324"/>
    </row>
    <row r="46" spans="1:49" x14ac:dyDescent="0.2">
      <c r="B46" s="167" t="s">
        <v>263</v>
      </c>
      <c r="C46" s="68" t="s">
        <v>20</v>
      </c>
      <c r="D46" s="115">
        <v>46</v>
      </c>
      <c r="E46" s="116">
        <f>D46</f>
        <v>46</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5</v>
      </c>
      <c r="AU46" s="119">
        <v>0</v>
      </c>
      <c r="AV46" s="119">
        <v>313150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2708</v>
      </c>
      <c r="AB47" s="116">
        <f>AA47</f>
        <v>2708</v>
      </c>
      <c r="AC47" s="116"/>
      <c r="AD47" s="115"/>
      <c r="AE47" s="297"/>
      <c r="AF47" s="297"/>
      <c r="AG47" s="297"/>
      <c r="AH47" s="297"/>
      <c r="AI47" s="115"/>
      <c r="AJ47" s="297"/>
      <c r="AK47" s="297"/>
      <c r="AL47" s="297"/>
      <c r="AM47" s="297"/>
      <c r="AN47" s="115"/>
      <c r="AO47" s="116"/>
      <c r="AP47" s="116"/>
      <c r="AQ47" s="116"/>
      <c r="AR47" s="116"/>
      <c r="AS47" s="115">
        <v>0</v>
      </c>
      <c r="AT47" s="119">
        <v>5185</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-12</v>
      </c>
      <c r="E49" s="116">
        <f>D49</f>
        <v>-12</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-3</v>
      </c>
      <c r="AU49" s="119">
        <v>0</v>
      </c>
      <c r="AV49" s="119">
        <v>-210</v>
      </c>
      <c r="AW49" s="324"/>
    </row>
    <row r="50" spans="2:49" ht="25.5" x14ac:dyDescent="0.2">
      <c r="B50" s="161" t="s">
        <v>266</v>
      </c>
      <c r="C50" s="68"/>
      <c r="D50" s="115">
        <v>11</v>
      </c>
      <c r="E50" s="116">
        <f>D50</f>
        <v>11</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4</v>
      </c>
      <c r="AU50" s="119">
        <v>0</v>
      </c>
      <c r="AV50" s="119">
        <v>-111</v>
      </c>
      <c r="AW50" s="324"/>
    </row>
    <row r="51" spans="2:49" x14ac:dyDescent="0.2">
      <c r="B51" s="161" t="s">
        <v>267</v>
      </c>
      <c r="C51" s="68"/>
      <c r="D51" s="115">
        <v>1775</v>
      </c>
      <c r="E51" s="116">
        <f>D51</f>
        <v>1775</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1897</v>
      </c>
      <c r="AU51" s="119">
        <v>0</v>
      </c>
      <c r="AV51" s="119">
        <v>8816589</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3</v>
      </c>
      <c r="E53" s="116">
        <f>D53</f>
        <v>3</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5</v>
      </c>
      <c r="AU53" s="119">
        <v>0</v>
      </c>
      <c r="AV53" s="119">
        <v>21855</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-619</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13</v>
      </c>
      <c r="AU56" s="129">
        <v>0</v>
      </c>
      <c r="AV56" s="129">
        <v>9677</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31</v>
      </c>
      <c r="AU57" s="132">
        <v>0</v>
      </c>
      <c r="AV57" s="132">
        <v>23176</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3</v>
      </c>
      <c r="AU58" s="132">
        <v>0</v>
      </c>
      <c r="AV58" s="132">
        <v>1</v>
      </c>
      <c r="AW58" s="316"/>
    </row>
    <row r="59" spans="2:49" x14ac:dyDescent="0.2">
      <c r="B59" s="167" t="s">
        <v>275</v>
      </c>
      <c r="C59" s="68" t="s">
        <v>27</v>
      </c>
      <c r="D59" s="130">
        <v>57</v>
      </c>
      <c r="E59" s="131">
        <v>57</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420</v>
      </c>
      <c r="AU59" s="132">
        <v>0</v>
      </c>
      <c r="AV59" s="132">
        <v>271242</v>
      </c>
      <c r="AW59" s="316"/>
    </row>
    <row r="60" spans="2:49" x14ac:dyDescent="0.2">
      <c r="B60" s="167" t="s">
        <v>276</v>
      </c>
      <c r="C60" s="68"/>
      <c r="D60" s="133">
        <f>D59/12</f>
        <v>4.75</v>
      </c>
      <c r="E60" s="134">
        <f>E59/12</f>
        <v>4.75</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35</v>
      </c>
      <c r="AU60" s="135">
        <f>AU59/12</f>
        <v>0</v>
      </c>
      <c r="AV60" s="135">
        <f>AV59/12</f>
        <v>22603.5</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23418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3830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27813</v>
      </c>
      <c r="E5" s="124">
        <v>28367</v>
      </c>
      <c r="F5" s="124"/>
      <c r="G5" s="136"/>
      <c r="H5" s="136"/>
      <c r="I5" s="123">
        <v>0</v>
      </c>
      <c r="J5" s="123">
        <v>0</v>
      </c>
      <c r="K5" s="124">
        <v>0</v>
      </c>
      <c r="L5" s="124"/>
      <c r="M5" s="124"/>
      <c r="N5" s="124"/>
      <c r="O5" s="123">
        <v>0</v>
      </c>
      <c r="P5" s="123">
        <v>-12374</v>
      </c>
      <c r="Q5" s="124">
        <v>-12406</v>
      </c>
      <c r="R5" s="124"/>
      <c r="S5" s="124"/>
      <c r="T5" s="124"/>
      <c r="U5" s="123">
        <v>0</v>
      </c>
      <c r="V5" s="124">
        <v>0</v>
      </c>
      <c r="W5" s="124"/>
      <c r="X5" s="123">
        <v>0</v>
      </c>
      <c r="Y5" s="124">
        <v>0</v>
      </c>
      <c r="Z5" s="124"/>
      <c r="AA5" s="123">
        <v>-44084</v>
      </c>
      <c r="AB5" s="124">
        <v>0</v>
      </c>
      <c r="AC5" s="124"/>
      <c r="AD5" s="123"/>
      <c r="AE5" s="301"/>
      <c r="AF5" s="301"/>
      <c r="AG5" s="301"/>
      <c r="AH5" s="301"/>
      <c r="AI5" s="123"/>
      <c r="AJ5" s="301"/>
      <c r="AK5" s="301"/>
      <c r="AL5" s="301"/>
      <c r="AM5" s="301"/>
      <c r="AN5" s="123"/>
      <c r="AO5" s="124"/>
      <c r="AP5" s="124"/>
      <c r="AQ5" s="124"/>
      <c r="AR5" s="124"/>
      <c r="AS5" s="123">
        <v>0</v>
      </c>
      <c r="AT5" s="125">
        <v>299768</v>
      </c>
      <c r="AU5" s="125">
        <v>0</v>
      </c>
      <c r="AV5" s="318"/>
      <c r="AW5" s="323"/>
    </row>
    <row r="6" spans="2:49" x14ac:dyDescent="0.2">
      <c r="B6" s="182" t="s">
        <v>279</v>
      </c>
      <c r="C6" s="139" t="s">
        <v>8</v>
      </c>
      <c r="D6" s="115">
        <v>2047</v>
      </c>
      <c r="E6" s="116">
        <f>D6</f>
        <v>2047</v>
      </c>
      <c r="F6" s="116"/>
      <c r="G6" s="117"/>
      <c r="H6" s="117"/>
      <c r="I6" s="115">
        <v>0</v>
      </c>
      <c r="J6" s="115">
        <v>0</v>
      </c>
      <c r="K6" s="116">
        <f>J6</f>
        <v>0</v>
      </c>
      <c r="L6" s="116"/>
      <c r="M6" s="116"/>
      <c r="N6" s="116"/>
      <c r="O6" s="115">
        <v>0</v>
      </c>
      <c r="P6" s="115">
        <v>12406</v>
      </c>
      <c r="Q6" s="116">
        <v>12406</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40199</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32</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2661</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-422</v>
      </c>
      <c r="F11" s="116"/>
      <c r="G11" s="116"/>
      <c r="H11" s="116"/>
      <c r="I11" s="115">
        <f>0</f>
        <v>0</v>
      </c>
      <c r="J11" s="115">
        <f>J41</f>
        <v>0</v>
      </c>
      <c r="K11" s="116">
        <f>K42</f>
        <v>0</v>
      </c>
      <c r="L11" s="116"/>
      <c r="M11" s="116"/>
      <c r="N11" s="116"/>
      <c r="O11" s="115">
        <f>0</f>
        <v>0</v>
      </c>
      <c r="P11" s="115">
        <f>P41</f>
        <v>-18</v>
      </c>
      <c r="Q11" s="116">
        <f>Q42</f>
        <v>-18</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422</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-503</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291442</v>
      </c>
      <c r="E23" s="294"/>
      <c r="F23" s="294"/>
      <c r="G23" s="294"/>
      <c r="H23" s="294"/>
      <c r="I23" s="298"/>
      <c r="J23" s="115">
        <v>-9</v>
      </c>
      <c r="K23" s="294"/>
      <c r="L23" s="294"/>
      <c r="M23" s="294"/>
      <c r="N23" s="294"/>
      <c r="O23" s="298"/>
      <c r="P23" s="115">
        <v>-1469</v>
      </c>
      <c r="Q23" s="294"/>
      <c r="R23" s="294"/>
      <c r="S23" s="294"/>
      <c r="T23" s="294"/>
      <c r="U23" s="115">
        <v>0</v>
      </c>
      <c r="V23" s="294"/>
      <c r="W23" s="294"/>
      <c r="X23" s="115">
        <v>0</v>
      </c>
      <c r="Y23" s="294"/>
      <c r="Z23" s="294"/>
      <c r="AA23" s="115">
        <v>156165</v>
      </c>
      <c r="AB23" s="294"/>
      <c r="AC23" s="294"/>
      <c r="AD23" s="115"/>
      <c r="AE23" s="294"/>
      <c r="AF23" s="294"/>
      <c r="AG23" s="294"/>
      <c r="AH23" s="294"/>
      <c r="AI23" s="115"/>
      <c r="AJ23" s="294"/>
      <c r="AK23" s="294"/>
      <c r="AL23" s="294"/>
      <c r="AM23" s="294"/>
      <c r="AN23" s="115"/>
      <c r="AO23" s="294"/>
      <c r="AP23" s="294"/>
      <c r="AQ23" s="294"/>
      <c r="AR23" s="294"/>
      <c r="AS23" s="115">
        <v>-96479</v>
      </c>
      <c r="AT23" s="119">
        <v>1324414</v>
      </c>
      <c r="AU23" s="119">
        <v>0</v>
      </c>
      <c r="AV23" s="317"/>
      <c r="AW23" s="324"/>
    </row>
    <row r="24" spans="2:49" ht="28.5" customHeight="1" x14ac:dyDescent="0.2">
      <c r="B24" s="184" t="s">
        <v>114</v>
      </c>
      <c r="C24" s="139"/>
      <c r="D24" s="299"/>
      <c r="E24" s="116">
        <v>254355</v>
      </c>
      <c r="F24" s="116"/>
      <c r="G24" s="116"/>
      <c r="H24" s="116"/>
      <c r="I24" s="115">
        <v>0</v>
      </c>
      <c r="J24" s="299"/>
      <c r="K24" s="116">
        <v>0</v>
      </c>
      <c r="L24" s="116"/>
      <c r="M24" s="116"/>
      <c r="N24" s="116"/>
      <c r="O24" s="115">
        <v>0</v>
      </c>
      <c r="P24" s="299"/>
      <c r="Q24" s="116">
        <v>-1472</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2834</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22244</v>
      </c>
      <c r="AB26" s="294"/>
      <c r="AC26" s="294"/>
      <c r="AD26" s="115"/>
      <c r="AE26" s="294"/>
      <c r="AF26" s="294"/>
      <c r="AG26" s="294"/>
      <c r="AH26" s="294"/>
      <c r="AI26" s="115"/>
      <c r="AJ26" s="294"/>
      <c r="AK26" s="294"/>
      <c r="AL26" s="294"/>
      <c r="AM26" s="294"/>
      <c r="AN26" s="115"/>
      <c r="AO26" s="294"/>
      <c r="AP26" s="294"/>
      <c r="AQ26" s="294"/>
      <c r="AR26" s="294"/>
      <c r="AS26" s="115">
        <v>0</v>
      </c>
      <c r="AT26" s="119">
        <v>5445</v>
      </c>
      <c r="AU26" s="119">
        <v>0</v>
      </c>
      <c r="AV26" s="317"/>
      <c r="AW26" s="324"/>
    </row>
    <row r="27" spans="2:49" s="11" customFormat="1" ht="25.5" x14ac:dyDescent="0.2">
      <c r="B27" s="184" t="s">
        <v>85</v>
      </c>
      <c r="C27" s="139"/>
      <c r="D27" s="299"/>
      <c r="E27" s="116">
        <v>450</v>
      </c>
      <c r="F27" s="116"/>
      <c r="G27" s="116"/>
      <c r="H27" s="116"/>
      <c r="I27" s="115">
        <v>0</v>
      </c>
      <c r="J27" s="299"/>
      <c r="K27" s="116">
        <v>0</v>
      </c>
      <c r="L27" s="116"/>
      <c r="M27" s="116"/>
      <c r="N27" s="116"/>
      <c r="O27" s="115">
        <v>0</v>
      </c>
      <c r="P27" s="299"/>
      <c r="Q27" s="116">
        <v>-950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4940</v>
      </c>
      <c r="E28" s="295"/>
      <c r="F28" s="295"/>
      <c r="G28" s="295"/>
      <c r="H28" s="295"/>
      <c r="I28" s="299"/>
      <c r="J28" s="115">
        <v>0</v>
      </c>
      <c r="K28" s="295"/>
      <c r="L28" s="295"/>
      <c r="M28" s="295"/>
      <c r="N28" s="295"/>
      <c r="O28" s="299"/>
      <c r="P28" s="115">
        <v>143018</v>
      </c>
      <c r="Q28" s="295"/>
      <c r="R28" s="295"/>
      <c r="S28" s="295"/>
      <c r="T28" s="295"/>
      <c r="U28" s="115">
        <v>0</v>
      </c>
      <c r="V28" s="295"/>
      <c r="W28" s="295"/>
      <c r="X28" s="115">
        <v>0</v>
      </c>
      <c r="Y28" s="295"/>
      <c r="Z28" s="295"/>
      <c r="AA28" s="115">
        <v>194001</v>
      </c>
      <c r="AB28" s="295"/>
      <c r="AC28" s="295"/>
      <c r="AD28" s="115"/>
      <c r="AE28" s="294"/>
      <c r="AF28" s="294"/>
      <c r="AG28" s="294"/>
      <c r="AH28" s="294"/>
      <c r="AI28" s="115"/>
      <c r="AJ28" s="294"/>
      <c r="AK28" s="294"/>
      <c r="AL28" s="294"/>
      <c r="AM28" s="294"/>
      <c r="AN28" s="115"/>
      <c r="AO28" s="295"/>
      <c r="AP28" s="295"/>
      <c r="AQ28" s="295"/>
      <c r="AR28" s="295"/>
      <c r="AS28" s="115">
        <v>11454</v>
      </c>
      <c r="AT28" s="119">
        <v>76883</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516</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905614</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662</v>
      </c>
      <c r="E32" s="295"/>
      <c r="F32" s="295"/>
      <c r="G32" s="295"/>
      <c r="H32" s="295"/>
      <c r="I32" s="299"/>
      <c r="J32" s="115">
        <v>0</v>
      </c>
      <c r="K32" s="295"/>
      <c r="L32" s="295"/>
      <c r="M32" s="295"/>
      <c r="N32" s="295"/>
      <c r="O32" s="299"/>
      <c r="P32" s="115">
        <v>15</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1088691</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3277</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3277</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4505</v>
      </c>
      <c r="E36" s="116">
        <f>D36</f>
        <v>4505</v>
      </c>
      <c r="F36" s="116"/>
      <c r="G36" s="116"/>
      <c r="H36" s="116"/>
      <c r="I36" s="115">
        <v>0</v>
      </c>
      <c r="J36" s="115">
        <v>0</v>
      </c>
      <c r="K36" s="116">
        <f>J36</f>
        <v>0</v>
      </c>
      <c r="L36" s="116"/>
      <c r="M36" s="116"/>
      <c r="N36" s="116"/>
      <c r="O36" s="115">
        <v>0</v>
      </c>
      <c r="P36" s="115">
        <v>763</v>
      </c>
      <c r="Q36" s="116">
        <f>P36</f>
        <v>763</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-18</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-422</v>
      </c>
      <c r="F42" s="116"/>
      <c r="G42" s="116"/>
      <c r="H42" s="116"/>
      <c r="I42" s="115">
        <v>0</v>
      </c>
      <c r="J42" s="299"/>
      <c r="K42" s="116">
        <v>0</v>
      </c>
      <c r="L42" s="116"/>
      <c r="M42" s="116"/>
      <c r="N42" s="116"/>
      <c r="O42" s="115">
        <v>0</v>
      </c>
      <c r="P42" s="299"/>
      <c r="Q42" s="116">
        <v>-18</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422</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21</v>
      </c>
      <c r="E45" s="116">
        <v>21</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372</v>
      </c>
      <c r="E49" s="116">
        <v>303</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28</v>
      </c>
      <c r="E50" s="295"/>
      <c r="F50" s="295"/>
      <c r="G50" s="295"/>
      <c r="H50" s="295"/>
      <c r="I50" s="299"/>
      <c r="J50" s="115">
        <v>0</v>
      </c>
      <c r="K50" s="295"/>
      <c r="L50" s="295"/>
      <c r="M50" s="295"/>
      <c r="N50" s="295"/>
      <c r="O50" s="299"/>
      <c r="P50" s="115">
        <v>1371</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105509</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287217</v>
      </c>
      <c r="E54" s="121">
        <f>E24+E27+E31+E35-E36+E39+E42+E45+E46-E49+E51+E52+E53</f>
        <v>252873</v>
      </c>
      <c r="F54" s="121"/>
      <c r="G54" s="121"/>
      <c r="H54" s="121"/>
      <c r="I54" s="120">
        <f>I24+I27+I31+I35-I36+I39+I42+I45+I46-I49+I51+I52+I53</f>
        <v>0</v>
      </c>
      <c r="J54" s="120">
        <f>J23+J26-J28+J30-J32+J34-J36+J38+J41-J43+J45+J46-J47-J49+J50+J51+J52+J53</f>
        <v>-9</v>
      </c>
      <c r="K54" s="121">
        <f>K24+K27+K31+K35-K36+K39+K42+K45+K46-K49+K51+K52+K53</f>
        <v>0</v>
      </c>
      <c r="L54" s="121"/>
      <c r="M54" s="121"/>
      <c r="N54" s="121"/>
      <c r="O54" s="120">
        <f>O24+O27+O31+O35-O36+O39+O42+O45+O46-O49+O51+O52+O53</f>
        <v>0</v>
      </c>
      <c r="P54" s="120">
        <f>P23+P26-P28+P30-P32+P34-P36+P38+P41-P43+P45+P46-P47-P49+P50+P51+P52+P53</f>
        <v>-143912</v>
      </c>
      <c r="Q54" s="121">
        <f>Q24+Q27+Q31+Q35-Q36+Q39+Q42+Q45+Q46-Q49+Q51+Q52+Q53</f>
        <v>-3203</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-15592</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-2424</v>
      </c>
      <c r="AT54" s="122">
        <f>AT23+AT26-AT28+AT30-AT32+AT34-AT36+AT38+AT41-AT43+AT45+AT46-AT47-AT49+AT50+AT51+AT52+AT53</f>
        <v>1069899</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67693.25</v>
      </c>
      <c r="D5" s="124">
        <v>42585</v>
      </c>
      <c r="E5" s="352"/>
      <c r="F5" s="352"/>
      <c r="G5" s="318"/>
      <c r="H5" s="123">
        <v>0</v>
      </c>
      <c r="I5" s="124">
        <v>0</v>
      </c>
      <c r="J5" s="352"/>
      <c r="K5" s="352"/>
      <c r="L5" s="318"/>
      <c r="M5" s="123">
        <v>3826291.81</v>
      </c>
      <c r="N5" s="124">
        <v>1384419</v>
      </c>
      <c r="O5" s="352"/>
      <c r="P5" s="352"/>
      <c r="Q5" s="123">
        <v>0</v>
      </c>
      <c r="R5" s="124">
        <v>0</v>
      </c>
      <c r="S5" s="352"/>
      <c r="T5" s="352"/>
      <c r="U5" s="123">
        <v>0</v>
      </c>
      <c r="V5" s="124">
        <v>0</v>
      </c>
      <c r="W5" s="352"/>
      <c r="X5" s="352"/>
      <c r="Y5" s="123">
        <v>2394205.59</v>
      </c>
      <c r="Z5" s="124">
        <v>1810386</v>
      </c>
      <c r="AA5" s="352"/>
      <c r="AB5" s="352"/>
      <c r="AC5" s="353"/>
      <c r="AD5" s="352"/>
      <c r="AE5" s="352"/>
      <c r="AF5" s="352"/>
      <c r="AG5" s="353"/>
      <c r="AH5" s="352"/>
      <c r="AI5" s="352"/>
      <c r="AJ5" s="352"/>
      <c r="AK5" s="353"/>
      <c r="AL5" s="124"/>
      <c r="AM5" s="352"/>
      <c r="AN5" s="354"/>
    </row>
    <row r="6" spans="1:40" s="15" customFormat="1" ht="25.5" x14ac:dyDescent="0.2">
      <c r="A6" s="148"/>
      <c r="B6" s="197" t="s">
        <v>311</v>
      </c>
      <c r="C6" s="115">
        <v>65038</v>
      </c>
      <c r="D6" s="116">
        <v>41863</v>
      </c>
      <c r="E6" s="121">
        <f>SUM('Pt 1 Summary of Data'!E$12,'Pt 1 Summary of Data'!E$22)+SUM('Pt 1 Summary of Data'!G$12,'Pt 1 Summary of Data'!G$22)-SUM('Pt 1 Summary of Data'!H$12,'Pt 1 Summary of Data'!H$22)</f>
        <v>252873</v>
      </c>
      <c r="F6" s="121">
        <f>SUM(C6:E6)</f>
        <v>359774</v>
      </c>
      <c r="G6" s="122">
        <f>'Pt 1 Summary of Data'!I12+'Pt 1 Summary of Data'!I22</f>
        <v>0</v>
      </c>
      <c r="H6" s="115">
        <v>0</v>
      </c>
      <c r="I6" s="116">
        <v>0</v>
      </c>
      <c r="J6" s="121">
        <f>'Pt 1 Summary of Data'!K12+'Pt 1 Summary of Data'!K22</f>
        <v>0</v>
      </c>
      <c r="K6" s="121">
        <f>SUM(H6:J6)</f>
        <v>0</v>
      </c>
      <c r="L6" s="122">
        <f>'Pt 1 Summary of Data'!O12+'Pt 1 Summary of Data'!O22</f>
        <v>0</v>
      </c>
      <c r="M6" s="115">
        <v>3892942</v>
      </c>
      <c r="N6" s="116">
        <v>1367225</v>
      </c>
      <c r="O6" s="121">
        <f>'Pt 1 Summary of Data'!Q12+'Pt 1 Summary of Data'!Q22</f>
        <v>-3203</v>
      </c>
      <c r="P6" s="121">
        <f>SUM(M6:O6)</f>
        <v>5256964</v>
      </c>
      <c r="Q6" s="115">
        <v>0</v>
      </c>
      <c r="R6" s="116">
        <v>0</v>
      </c>
      <c r="S6" s="121">
        <f>'Pt 1 Summary of Data'!V12+'Pt 1 Summary of Data'!V22</f>
        <v>0</v>
      </c>
      <c r="T6" s="121">
        <f>SUM(Q6:S6)</f>
        <v>0</v>
      </c>
      <c r="U6" s="115">
        <v>0</v>
      </c>
      <c r="V6" s="116">
        <v>0</v>
      </c>
      <c r="W6" s="121">
        <f>'Pt 1 Summary of Data'!Y12+'Pt 1 Summary of Data'!Y22</f>
        <v>0</v>
      </c>
      <c r="X6" s="121">
        <f>SUM(U6:W6)</f>
        <v>0</v>
      </c>
      <c r="Y6" s="115">
        <v>2373875</v>
      </c>
      <c r="Z6" s="116">
        <v>1799612</v>
      </c>
      <c r="AA6" s="121">
        <f>'Pt 1 Summary of Data'!AB12+'Pt 1 Summary of Data'!AB22</f>
        <v>0</v>
      </c>
      <c r="AB6" s="121">
        <f>SUM(Y6:AA6)</f>
        <v>4173487</v>
      </c>
      <c r="AC6" s="298"/>
      <c r="AD6" s="294"/>
      <c r="AE6" s="294"/>
      <c r="AF6" s="294"/>
      <c r="AG6" s="298"/>
      <c r="AH6" s="294"/>
      <c r="AI6" s="294"/>
      <c r="AJ6" s="294"/>
      <c r="AK6" s="298"/>
      <c r="AL6" s="116"/>
      <c r="AM6" s="121"/>
      <c r="AN6" s="259"/>
    </row>
    <row r="7" spans="1:40" x14ac:dyDescent="0.2">
      <c r="B7" s="197" t="s">
        <v>312</v>
      </c>
      <c r="C7" s="115">
        <v>292</v>
      </c>
      <c r="D7" s="116">
        <v>115</v>
      </c>
      <c r="E7" s="121">
        <f>SUM('Pt 1 Summary of Data'!E37:E41)+MAX(0,MIN('Pt 1 Summary of Data'!E42,0.3%*('Pt 1 Summary of Data'!E5-SUM(E9:E11))))</f>
        <v>104</v>
      </c>
      <c r="F7" s="121">
        <f>SUM(C7:E7)</f>
        <v>511</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27608</v>
      </c>
      <c r="N7" s="116">
        <v>4241</v>
      </c>
      <c r="O7" s="121">
        <f>SUM('Pt 1 Summary of Data'!Q37:Q41)+MAX(0,MIN('Pt 1 Summary of Data'!Q42,0.3%*('Pt 1 Summary of Data'!Q5)))</f>
        <v>215</v>
      </c>
      <c r="P7" s="121">
        <f>SUM(M7:O7)</f>
        <v>32064</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65330</v>
      </c>
      <c r="D12" s="121">
        <f>SUM(D$6:D$7)+IF(AND(OR('Company Information'!$C$12="District of Columbia",'Company Information'!$C$12="Massachusetts",'Company Information'!$C$12="Vermont"),SUM($C$6:$F$11,$C$15:$F$16,$C$37:$D$37)&lt;&gt;0),SUM(I$6:I$7),0)</f>
        <v>41978</v>
      </c>
      <c r="E12" s="121">
        <f>SUM(E$6:E$7)-SUM(E$8:E$11)+IF(AND(OR('Company Information'!$C$12="District of Columbia",'Company Information'!$C$12="Massachusetts",'Company Information'!$C$12="Vermont"),SUM($C$6:$F$11,$C$15:$F$16,$C$37:$D$37)&lt;&gt;0),SUM(J$6:J$7)-SUM(J$10:J$11),0)</f>
        <v>252977</v>
      </c>
      <c r="F12" s="121">
        <f>IFERROR(SUM(C$12:E$12)+C$17*MAX(0,E$49-C$49)+D$17*MAX(0,E$49-D$49),0)</f>
        <v>360285</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3920550</v>
      </c>
      <c r="N12" s="121">
        <f>SUM(N$6:N$7)</f>
        <v>1371466</v>
      </c>
      <c r="O12" s="121">
        <f>SUM(O$6:O$7)</f>
        <v>-2988</v>
      </c>
      <c r="P12" s="121">
        <f>SUM(M$12:O$12)+M$17*MAX(0,O$49-M$49)+N$17*MAX(0,O$49-N$49)</f>
        <v>5289028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4154281.25</v>
      </c>
      <c r="Z13" s="121">
        <f>1.5*SUM(Z$6:Z$7)</f>
        <v>2699418</v>
      </c>
      <c r="AA13" s="121">
        <f>1.25*SUM(AA$6:AA$7)</f>
        <v>0</v>
      </c>
      <c r="AB13" s="121">
        <f>1.25*(SUM(AB$6:AB$7)+Y$17*MAX(0,AA$49-Y$49)+Z$17*MAX(0,AA$49-Z$49))</f>
        <v>5216858.75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99552</v>
      </c>
      <c r="D15" s="124">
        <v>39241</v>
      </c>
      <c r="E15" s="112">
        <f>SUM('Pt 1 Summary of Data'!E$5:E$7)+SUM('Pt 1 Summary of Data'!G$5:G$7)-SUM('Pt 1 Summary of Data'!H$5:H$7)-SUM(E$9:E$11)+D$55</f>
        <v>30646</v>
      </c>
      <c r="F15" s="112">
        <f>SUM(C15:E15)</f>
        <v>169439</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4604102</v>
      </c>
      <c r="N15" s="124">
        <v>1461417</v>
      </c>
      <c r="O15" s="112">
        <f>SUM('Pt 1 Summary of Data'!Q5:Q7)+N55</f>
        <v>0</v>
      </c>
      <c r="P15" s="112">
        <f>SUM(M15:O15)</f>
        <v>6065519</v>
      </c>
      <c r="Q15" s="123">
        <v>0</v>
      </c>
      <c r="R15" s="124">
        <v>0</v>
      </c>
      <c r="S15" s="112">
        <f>SUM('Pt 1 Summary of Data'!V5:V7)+R55</f>
        <v>0</v>
      </c>
      <c r="T15" s="112">
        <f>SUM(Q15:S15)</f>
        <v>0</v>
      </c>
      <c r="U15" s="123">
        <v>0</v>
      </c>
      <c r="V15" s="124">
        <v>0</v>
      </c>
      <c r="W15" s="112">
        <f>SUM('Pt 1 Summary of Data'!Y5:Y7)+V55</f>
        <v>0</v>
      </c>
      <c r="X15" s="112">
        <f>SUM(U15:W15)</f>
        <v>0</v>
      </c>
      <c r="Y15" s="123">
        <v>4037699</v>
      </c>
      <c r="Z15" s="124">
        <v>3376008</v>
      </c>
      <c r="AA15" s="112">
        <f>SUM('Pt 1 Summary of Data'!AB5:AB7)+Z55</f>
        <v>-344</v>
      </c>
      <c r="AB15" s="112">
        <f>SUM(Y15:AA15)</f>
        <v>7413363</v>
      </c>
      <c r="AC15" s="353"/>
      <c r="AD15" s="352"/>
      <c r="AE15" s="352"/>
      <c r="AF15" s="352"/>
      <c r="AG15" s="353"/>
      <c r="AH15" s="352"/>
      <c r="AI15" s="352"/>
      <c r="AJ15" s="352"/>
      <c r="AK15" s="353"/>
      <c r="AL15" s="124"/>
      <c r="AM15" s="112"/>
      <c r="AN15" s="260"/>
    </row>
    <row r="16" spans="1:40" x14ac:dyDescent="0.2">
      <c r="B16" s="197" t="s">
        <v>313</v>
      </c>
      <c r="C16" s="115">
        <v>3720</v>
      </c>
      <c r="D16" s="116">
        <v>25701</v>
      </c>
      <c r="E16" s="121">
        <f>'Pt 1 Summary of Data'!E25+'Pt 1 Summary of Data'!E26+'Pt 1 Summary of Data'!E27+'Pt 1 Summary of Data'!E28+'Pt 1 Summary of Data'!E30+'Pt 1 Summary of Data'!E31+'Pt 1 Summary of Data'!E34+'Pt 1 Summary of Data'!E35+'Pt 3 MLR and Rebate Calculation'!D56</f>
        <v>49152</v>
      </c>
      <c r="F16" s="121">
        <f>SUM(C16:E16)</f>
        <v>78573</v>
      </c>
      <c r="G16" s="122">
        <f>'Pt 1 Summary of Data'!I25+'Pt 1 Summary of Data'!I26+'Pt 1 Summary of Data'!I27+'Pt 1 Summary of Data'!I28+'Pt 1 Summary of Data'!I30+'Pt 1 Summary of Data'!I31+'Pt 1 Summary of Data'!I34+'Pt 1 Summary of Data'!I35</f>
        <v>0</v>
      </c>
      <c r="H16" s="115">
        <v>1666</v>
      </c>
      <c r="I16" s="116">
        <v>-32</v>
      </c>
      <c r="J16" s="121">
        <f>'Pt 1 Summary of Data'!K25+'Pt 1 Summary of Data'!K26+'Pt 1 Summary of Data'!K27+'Pt 1 Summary of Data'!K28+'Pt 1 Summary of Data'!K30+'Pt 1 Summary of Data'!K31+'Pt 1 Summary of Data'!K34+'Pt 1 Summary of Data'!K35+'Pt 3 MLR and Rebate Calculation'!I56</f>
        <v>-4</v>
      </c>
      <c r="K16" s="121">
        <f>SUM(H16:J16)</f>
        <v>1630</v>
      </c>
      <c r="L16" s="122">
        <f>'Pt 1 Summary of Data'!O25+'Pt 1 Summary of Data'!O26+'Pt 1 Summary of Data'!O27+'Pt 1 Summary of Data'!O28+'Pt 1 Summary of Data'!O30+'Pt 1 Summary of Data'!O31+'Pt 1 Summary of Data'!O34+'Pt 1 Summary of Data'!O35</f>
        <v>0</v>
      </c>
      <c r="M16" s="115">
        <v>555886</v>
      </c>
      <c r="N16" s="116">
        <v>-104437</v>
      </c>
      <c r="O16" s="121">
        <f>'Pt 1 Summary of Data'!Q25+'Pt 1 Summary of Data'!Q26+'Pt 1 Summary of Data'!Q27+'Pt 1 Summary of Data'!Q28+'Pt 1 Summary of Data'!Q30+'Pt 1 Summary of Data'!Q31+'Pt 1 Summary of Data'!Q34+'Pt 1 Summary of Data'!Q35+'Pt 3 MLR and Rebate Calculation'!N56</f>
        <v>-26793</v>
      </c>
      <c r="P16" s="121">
        <f>SUM(M16:O16)</f>
        <v>424656</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407656</v>
      </c>
      <c r="Z16" s="116">
        <v>544361</v>
      </c>
      <c r="AA16" s="121">
        <f>'Pt 1 Summary of Data'!AB25+'Pt 1 Summary of Data'!AB26+'Pt 1 Summary of Data'!AB27+'Pt 1 Summary of Data'!AB28+'Pt 1 Summary of Data'!AB30+'Pt 1 Summary of Data'!AB31+'Pt 1 Summary of Data'!AB34+'Pt 1 Summary of Data'!AB35+'Pt 3 MLR and Rebate Calculation'!Z56</f>
        <v>3686</v>
      </c>
      <c r="AB16" s="121">
        <f>SUM(Y16:AA16)</f>
        <v>955703</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95832</v>
      </c>
      <c r="D17" s="121">
        <f>D$15-D$16+IF(AND(OR('Company Information'!$C$12="District of Columbia",'Company Information'!$C$12="Massachusetts",'Company Information'!$C$12="Vermont"),SUM($C$6:$F$11,$C$15:$F$16,$C$37:$D$37)&lt;&gt;0),I$15-I$16,0)</f>
        <v>13540</v>
      </c>
      <c r="E17" s="121">
        <f>E$15-E$16+IF(AND(OR('Company Information'!$C$12="District of Columbia",'Company Information'!$C$12="Massachusetts",'Company Information'!$C$12="Vermont"),SUM($C$6:$F$11,$C$15:$F$16,$C$37:$D$37)&lt;&gt;0),J$15-J$16,0)</f>
        <v>-18506</v>
      </c>
      <c r="F17" s="121">
        <f>F$15-F$16+IF(AND(OR('Company Information'!$C$12="District of Columbia",'Company Information'!$C$12="Massachusetts",'Company Information'!$C$12="Vermont"),SUM($C$6:$F$11,$C$15:$F$16,$C$37:$D$37)&lt;&gt;0),K$15-K$16,0)</f>
        <v>90866</v>
      </c>
      <c r="G17" s="320"/>
      <c r="H17" s="120">
        <f>H$15-H$16+IF(AND(OR('Company Information'!$C$12="District of Columbia",'Company Information'!$C$12="Massachusetts",'Company Information'!$C$12="Vermont"),SUM($H$6:$K$11,$H$15:$K$16,$H$37:$I$37)&lt;&gt;0),C$15-C$16,0)</f>
        <v>-1666</v>
      </c>
      <c r="I17" s="121">
        <f>I$15-I$16+IF(AND(OR('Company Information'!$C$12="District of Columbia",'Company Information'!$C$12="Massachusetts",'Company Information'!$C$12="Vermont"),SUM($H$6:$K$11,$H$15:$K$16,$H$37:$I$37)&lt;&gt;0),D$15-D$16,0)</f>
        <v>32</v>
      </c>
      <c r="J17" s="121">
        <f>J$15-J$16+IF(AND(OR('Company Information'!$C$12="District of Columbia",'Company Information'!$C$12="Massachusetts",'Company Information'!$C$12="Vermont"),SUM($H$6:$K$11,$H$15:$K$16,$H$37:$I$37)&lt;&gt;0),E$15-E$16,0)</f>
        <v>4</v>
      </c>
      <c r="K17" s="121">
        <f>K$15-K$16+IF(AND(OR('Company Information'!$C$12="District of Columbia",'Company Information'!$C$12="Massachusetts",'Company Information'!$C$12="Vermont"),SUM($H$6:$K$11,$H$15:$K$16,$H$37:$I$37)&lt;&gt;0),F$15-F$16,0)</f>
        <v>-1630</v>
      </c>
      <c r="L17" s="320"/>
      <c r="M17" s="120">
        <f>M$15-M$16</f>
        <v>4048216</v>
      </c>
      <c r="N17" s="121">
        <f>N$15-N$16</f>
        <v>1565854</v>
      </c>
      <c r="O17" s="121">
        <f>O$15-O$16</f>
        <v>26793</v>
      </c>
      <c r="P17" s="121">
        <f>P$15-P$16</f>
        <v>5640863</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3630043</v>
      </c>
      <c r="Z17" s="121">
        <f>Z$15-Z$16</f>
        <v>2831647</v>
      </c>
      <c r="AA17" s="121">
        <f>AA$15-AA$16</f>
        <v>-4030</v>
      </c>
      <c r="AB17" s="121">
        <f>AB$15-AB$16</f>
        <v>6457660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v>
      </c>
      <c r="D37" s="128">
        <v>6</v>
      </c>
      <c r="E37" s="262">
        <f>'Pt 1 Summary of Data'!E60</f>
        <v>4.75</v>
      </c>
      <c r="F37" s="262">
        <f>SUM(C37:E37)</f>
        <v>19.75</v>
      </c>
      <c r="G37" s="318"/>
      <c r="H37" s="127">
        <v>0</v>
      </c>
      <c r="I37" s="128">
        <v>0</v>
      </c>
      <c r="J37" s="262">
        <f>'Pt 1 Summary of Data'!K60</f>
        <v>0</v>
      </c>
      <c r="K37" s="262">
        <f>SUM(H37:J37)</f>
        <v>0</v>
      </c>
      <c r="L37" s="318"/>
      <c r="M37" s="127">
        <v>878</v>
      </c>
      <c r="N37" s="128">
        <v>227</v>
      </c>
      <c r="O37" s="262">
        <f>'Pt 1 Summary of Data'!Q60</f>
        <v>0</v>
      </c>
      <c r="P37" s="262">
        <f>SUM(M37:O37)</f>
        <v>1105</v>
      </c>
      <c r="Q37" s="127">
        <v>0</v>
      </c>
      <c r="R37" s="128">
        <v>0</v>
      </c>
      <c r="S37" s="262">
        <f>'Pt 1 Summary of Data'!V60</f>
        <v>0</v>
      </c>
      <c r="T37" s="262">
        <f>SUM(Q37:S37)</f>
        <v>0</v>
      </c>
      <c r="U37" s="127">
        <v>0</v>
      </c>
      <c r="V37" s="128">
        <v>0</v>
      </c>
      <c r="W37" s="262">
        <f>'Pt 1 Summary of Data'!Y60</f>
        <v>0</v>
      </c>
      <c r="X37" s="262">
        <f>SUM(U37:W37)</f>
        <v>0</v>
      </c>
      <c r="Y37" s="127">
        <v>3353</v>
      </c>
      <c r="Z37" s="128">
        <v>2781</v>
      </c>
      <c r="AA37" s="262">
        <f>'Pt 1 Summary of Data'!AB60</f>
        <v>0</v>
      </c>
      <c r="AB37" s="262">
        <f>SUM(Y37:AA37)</f>
        <v>6134</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8.0829999999999999E-2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3.45052E-2</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8.0829999999999999E-2</v>
      </c>
      <c r="Q41" s="298"/>
      <c r="R41" s="294"/>
      <c r="S41" s="294"/>
      <c r="T41" s="266">
        <f>IF(OR(T$37&lt;1000,T$37&gt;=75000),0,T$38*T$40)</f>
        <v>0</v>
      </c>
      <c r="U41" s="298"/>
      <c r="V41" s="294"/>
      <c r="W41" s="294"/>
      <c r="X41" s="266">
        <f>IF(OR(X$37&lt;1000,X$37&gt;=75000),0,X$38*X$40)</f>
        <v>0</v>
      </c>
      <c r="Y41" s="298"/>
      <c r="Z41" s="294"/>
      <c r="AA41" s="294"/>
      <c r="AB41" s="266">
        <f ca="1">IF(OR(AB$37&lt;1000,AB$37&gt;=75000),0,AB$38*AB$40)</f>
        <v>3.45052E-2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f>IF(OR(P$37&lt;1000,P$17&lt;=0),"",P$12/P$17)</f>
        <v>0.93762745168602746</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1.1444165399693613</v>
      </c>
      <c r="Z45" s="266">
        <f>IF(OR(Z$37&lt;1000,Z$17&lt;=0),"",Z$13/Z$17)</f>
        <v>0.95330314830909357</v>
      </c>
      <c r="AA45" s="266" t="str">
        <f>IF(OR(AA$37&lt;1000,AA$17&lt;=0),"",AA$13/AA$17)</f>
        <v/>
      </c>
      <c r="AB45" s="266">
        <f>IF(OR(AB$37&lt;1000,AB$17&lt;=0),"",AB$13/AB$17)</f>
        <v>0.80785590291220044</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8.0829999999999999E-2</v>
      </c>
      <c r="Q46" s="299"/>
      <c r="R46" s="295"/>
      <c r="S46" s="295"/>
      <c r="T46" s="266">
        <f>IF(T37&lt;1000,0,T41)</f>
        <v>0</v>
      </c>
      <c r="U46" s="299"/>
      <c r="V46" s="295"/>
      <c r="W46" s="295"/>
      <c r="X46" s="266">
        <f>IF(X37&lt;1000,0,X41)</f>
        <v>0</v>
      </c>
      <c r="Y46" s="299"/>
      <c r="Z46" s="295"/>
      <c r="AA46" s="295"/>
      <c r="AB46" s="266">
        <f ca="1">IF(AB37&lt;1000,0,AB41)</f>
        <v>3.45052E-2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1.018</v>
      </c>
      <c r="Q47" s="298"/>
      <c r="R47" s="294"/>
      <c r="S47" s="294"/>
      <c r="T47" s="266" t="str">
        <f>IF(T$45="","",ROUND(T$45+MAX(0,T$46),3))</f>
        <v/>
      </c>
      <c r="U47" s="298"/>
      <c r="V47" s="294"/>
      <c r="W47" s="294"/>
      <c r="X47" s="266" t="str">
        <f>IF(X$45="","",ROUND(X$45+MAX(0,X$46),3))</f>
        <v/>
      </c>
      <c r="Y47" s="298"/>
      <c r="Z47" s="294"/>
      <c r="AA47" s="294"/>
      <c r="AB47" s="266">
        <f ca="1">IF(AB$45="","",ROUND(AB$45+MAX(0,AB$46),3))</f>
        <v>0.84199999999999997</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1.018</v>
      </c>
      <c r="Q50" s="299"/>
      <c r="R50" s="295"/>
      <c r="S50" s="295"/>
      <c r="T50" s="266" t="str">
        <f>T47</f>
        <v/>
      </c>
      <c r="U50" s="299"/>
      <c r="V50" s="295"/>
      <c r="W50" s="295"/>
      <c r="X50" s="266" t="str">
        <f>X47</f>
        <v/>
      </c>
      <c r="Y50" s="299"/>
      <c r="Z50" s="295"/>
      <c r="AA50" s="295"/>
      <c r="AB50" s="266">
        <f ca="1">AB47</f>
        <v>0.84199999999999997</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26793</v>
      </c>
      <c r="Q51" s="298"/>
      <c r="R51" s="294"/>
      <c r="S51" s="294"/>
      <c r="T51" s="121" t="str">
        <f>IF(T37&lt;1000,"",MAX(0,S15-S16))</f>
        <v/>
      </c>
      <c r="U51" s="298"/>
      <c r="V51" s="294"/>
      <c r="W51" s="294"/>
      <c r="X51" s="121" t="str">
        <f>IF(X37&lt;1000,"",MAX(0,W15-W16))</f>
        <v/>
      </c>
      <c r="Y51" s="298"/>
      <c r="Z51" s="294"/>
      <c r="AA51" s="294"/>
      <c r="AB51" s="121">
        <f>IF(AB37&lt;1000,"",MAX(0,AA15-AA16))</f>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 ca="1">'Pt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