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S6" i="10"/>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C55" i="18"/>
  <c r="AC22" i="4" s="1"/>
  <c r="AC54" i="18"/>
  <c r="AB55" i="18"/>
  <c r="AB54" i="18"/>
  <c r="AB12" i="4" s="1"/>
  <c r="AA6" i="10" s="1"/>
  <c r="AA55" i="18"/>
  <c r="AA22" i="4" s="1"/>
  <c r="AA54" i="18"/>
  <c r="Z55" i="18"/>
  <c r="Z54" i="18"/>
  <c r="Y55" i="18"/>
  <c r="Y22" i="4" s="1"/>
  <c r="Y54" i="18"/>
  <c r="X55" i="18"/>
  <c r="X54" i="18"/>
  <c r="W55" i="18"/>
  <c r="W22" i="4" s="1"/>
  <c r="W54" i="18"/>
  <c r="V55" i="18"/>
  <c r="V54" i="18"/>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1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1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6" i="10" s="1"/>
  <c r="E5" i="4"/>
  <c r="D60" i="4"/>
  <c r="D22" i="4"/>
  <c r="D5" i="4"/>
  <c r="K15" i="10" l="1"/>
  <c r="F6" i="10"/>
  <c r="AB6" i="10"/>
  <c r="AB13" i="10" s="1"/>
  <c r="AA13" i="10"/>
  <c r="G19" i="10"/>
  <c r="J6" i="10"/>
  <c r="T6" i="10"/>
  <c r="O6" i="10"/>
  <c r="E7" i="10"/>
  <c r="F7" i="10" s="1"/>
  <c r="E15" i="10"/>
  <c r="O7" i="10"/>
  <c r="P7" i="10" s="1"/>
  <c r="O45" i="10"/>
  <c r="P38" i="10"/>
  <c r="W7" i="10"/>
  <c r="X7" i="10" s="1"/>
  <c r="AB42" i="10"/>
  <c r="AB52" i="10"/>
  <c r="G15" i="10"/>
  <c r="G7" i="10"/>
  <c r="G20" i="10" s="1"/>
  <c r="L15" i="10"/>
  <c r="S15" i="10"/>
  <c r="Y46" i="10"/>
  <c r="AA15" i="10"/>
  <c r="W6" i="10"/>
  <c r="L6" i="10"/>
  <c r="L20" i="10" s="1"/>
  <c r="O17" i="10"/>
  <c r="S17" i="10" l="1"/>
  <c r="T15" i="10"/>
  <c r="AA17" i="10"/>
  <c r="AA46" i="10" s="1"/>
  <c r="AB15" i="10"/>
  <c r="AB17" i="10" s="1"/>
  <c r="P39" i="10"/>
  <c r="P52" i="10"/>
  <c r="P42" i="10"/>
  <c r="R17" i="10"/>
  <c r="R46" i="10" s="1"/>
  <c r="J12" i="10"/>
  <c r="K6" i="10"/>
  <c r="J17" i="10" s="1"/>
  <c r="I17" i="10"/>
  <c r="I45" i="10" s="1"/>
  <c r="C12" i="10"/>
  <c r="X6" i="10"/>
  <c r="V17" i="10" s="1"/>
  <c r="V46" i="10" s="1"/>
  <c r="W13" i="10"/>
  <c r="S38" i="10"/>
  <c r="C17" i="10"/>
  <c r="E12" i="10"/>
  <c r="AB39" i="10"/>
  <c r="L32" i="10"/>
  <c r="L24" i="10"/>
  <c r="L23" i="10"/>
  <c r="L27" i="10"/>
  <c r="P6" i="10"/>
  <c r="O12" i="10"/>
  <c r="P12" i="10" s="1"/>
  <c r="P45" i="10" s="1"/>
  <c r="W17" i="10"/>
  <c r="Q17" i="10"/>
  <c r="G22" i="10"/>
  <c r="G27" i="10"/>
  <c r="G23" i="10"/>
  <c r="G32" i="10"/>
  <c r="G24" i="10"/>
  <c r="F15" i="10"/>
  <c r="E38" i="10" s="1"/>
  <c r="Q13" i="10"/>
  <c r="L19" i="10"/>
  <c r="L22" i="10" s="1"/>
  <c r="F38" i="10" l="1"/>
  <c r="E45" i="10"/>
  <c r="P47" i="10"/>
  <c r="P48" i="10" s="1"/>
  <c r="P51" i="10" s="1"/>
  <c r="P53" i="10" s="1"/>
  <c r="E11" i="16" s="1"/>
  <c r="L21" i="10"/>
  <c r="L26" i="10" s="1"/>
  <c r="L25" i="10" s="1"/>
  <c r="L28" i="10" s="1"/>
  <c r="L30" i="10"/>
  <c r="L31" i="10" s="1"/>
  <c r="L29" i="10" s="1"/>
  <c r="L33" i="10" s="1"/>
  <c r="L34" i="10" s="1"/>
  <c r="T17" i="10"/>
  <c r="S13" i="10"/>
  <c r="F17" i="10"/>
  <c r="D17" i="10"/>
  <c r="D45" i="10" s="1"/>
  <c r="X17" i="10"/>
  <c r="V13" i="10"/>
  <c r="U17" i="10"/>
  <c r="H12" i="10"/>
  <c r="J38" i="10"/>
  <c r="AB53" i="10"/>
  <c r="H11" i="16" s="1"/>
  <c r="AB46" i="10"/>
  <c r="G21" i="10"/>
  <c r="G26" i="10" s="1"/>
  <c r="G25" i="10" s="1"/>
  <c r="G28" i="10" s="1"/>
  <c r="G30" i="10"/>
  <c r="G31" i="10" s="1"/>
  <c r="G29" i="10" s="1"/>
  <c r="G33" i="10" s="1"/>
  <c r="G34" i="10" s="1"/>
  <c r="C45" i="10"/>
  <c r="U13" i="10"/>
  <c r="W38" i="10"/>
  <c r="E17" i="10"/>
  <c r="T13" i="10"/>
  <c r="Q46" i="10"/>
  <c r="K17" i="10"/>
  <c r="T38" i="10"/>
  <c r="S46" i="10"/>
  <c r="D12" i="10"/>
  <c r="I12" i="10"/>
  <c r="H17" i="10"/>
  <c r="R13" i="10"/>
  <c r="AB48" i="10" l="1"/>
  <c r="AB51" i="10" s="1"/>
  <c r="AB47" i="10"/>
  <c r="X13" i="10"/>
  <c r="U46" i="10"/>
  <c r="H45" i="10"/>
  <c r="K12" i="10"/>
  <c r="T42" i="10"/>
  <c r="T52" i="10"/>
  <c r="T46" i="10"/>
  <c r="T53" i="10"/>
  <c r="F11" i="16" s="1"/>
  <c r="T39" i="10"/>
  <c r="F12" i="10"/>
  <c r="K38" i="10"/>
  <c r="J45" i="10"/>
  <c r="W46" i="10"/>
  <c r="X38" i="10"/>
  <c r="F42" i="10"/>
  <c r="F52" i="10"/>
  <c r="F45" i="10"/>
  <c r="F53" i="10"/>
  <c r="C11" i="16" s="1"/>
  <c r="F39" i="10"/>
  <c r="F48" i="10" l="1"/>
  <c r="F51" i="10" s="1"/>
  <c r="F47" i="10"/>
  <c r="X53" i="10"/>
  <c r="G11" i="16" s="1"/>
  <c r="X39" i="10"/>
  <c r="X52" i="10"/>
  <c r="X46" i="10"/>
  <c r="X42" i="10"/>
  <c r="K53" i="10"/>
  <c r="D11" i="16" s="1"/>
  <c r="K39" i="10"/>
  <c r="K45" i="10"/>
  <c r="K42" i="10"/>
  <c r="K52" i="10"/>
  <c r="T48" i="10"/>
  <c r="T51" i="10" s="1"/>
  <c r="T47" i="10"/>
  <c r="K47" i="10" l="1"/>
  <c r="K48" i="10"/>
  <c r="K51" i="10" s="1"/>
  <c r="X47" i="10"/>
  <c r="X48" i="10"/>
  <c r="X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<sst xmlns="http://schemas.openxmlformats.org/spreadsheetml/2006/main" count="572" uniqueCount="511">
  <si>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</si>
  <si>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</si>
  <si>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</si>
  <si>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</si>
  <si>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</si>
  <si>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</si>
  <si>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</si>
  <si>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</si>
  <si>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</si>
  <si>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</si>
  <si>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</si>
  <si>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</si>
  <si>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</si>
  <si>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</si>
  <si>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</si>
  <si>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</si>
  <si>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</si>
  <si>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</si>
  <si>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</si>
  <si>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</si>
  <si>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</si>
  <si>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</si>
  <si>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</si>
  <si>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</si>
  <si>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</si>
  <si>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</si>
  <si>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</si>
  <si>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</si>
  <si>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</si>
  <si>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</si>
  <si>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</si>
  <si>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</si>
  <si>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</si>
  <si>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</si>
  <si>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</si>
  <si>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</si>
  <si>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</si>
  <si>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</si>
  <si>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</si>
  <si>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</si>
  <si>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</si>
  <si>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</si>
  <si>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</si>
  <si>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</si>
  <si>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</si>
  <si>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</si>
  <si>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</si>
  <si>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</si>
  <si>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</si>
  <si>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</si>
  <si>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</si>
  <si>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</si>
  <si>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</si>
  <si>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</si>
  <si>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</si>
  <si>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</si>
  <si>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</si>
  <si>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</si>
  <si>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</si>
  <si>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</si>
  <si>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</si>
  <si>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</si>
  <si>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</si>
  <si>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</si>
  <si>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</si>
  <si>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</si>
  <si>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</si>
  <si>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</si>
  <si>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</si>
  <si>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</si>
  <si>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</si>
  <si>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</si>
  <si>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</si>
  <si>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</si>
  <si>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</si>
  <si>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</si>
  <si>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</si>
  <si>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</si>
  <si>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</si>
  <si>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</si>
  <si>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</si>
  <si>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</si>
  <si>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</si>
  <si>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</si>
  <si>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</si>
  <si>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</si>
  <si>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</si>
  <si>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</si>
  <si>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</si>
  <si>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</si>
  <si>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</si>
  <si>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</si>
  <si>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</si>
  <si>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</si>
  <si>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</si>
  <si>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</si>
  <si>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</si>
  <si>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</si>
  <si>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</si>
  <si>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</si>
  <si>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</si>
  <si>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</si>
  <si>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</si>
  <si>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</si>
  <si>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</si>
  <si>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</si>
  <si>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</si>
  <si>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</si>
  <si>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</si>
  <si>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</si>
  <si>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</si>
  <si>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</si>
  <si>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</si>
  <si>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</si>
  <si>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</si>
  <si>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</si>
  <si>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</si>
  <si>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</si>
  <si>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</si>
  <si>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</si>
  <si>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</si>
  <si>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</si>
  <si>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</si>
  <si>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</si>
  <si>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</si>
  <si>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</si>
  <si>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</si>
  <si>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</si>
  <si>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</si>
  <si>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</si>
  <si>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</si>
  <si>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</si>
  <si>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</si>
  <si>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</si>
  <si>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</si>
  <si>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</si>
  <si>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</si>
  <si>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</si>
  <si>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</si>
  <si>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</si>
  <si>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</si>
  <si>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</si>
  <si>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</si>
  <si>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</si>
  <si>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</si>
  <si>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</si>
  <si>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</si>
  <si>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</si>
  <si>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</si>
  <si>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</si>
  <si>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</si>
  <si>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</si>
  <si>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</si>
  <si>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</si>
  <si>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</si>
  <si>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</si>
  <si>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</si>
  <si>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</si>
  <si>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</si>
  <si>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</si>
  <si>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</si>
  <si>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</si>
  <si>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</si>
  <si>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</si>
  <si>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</si>
  <si>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</si>
  <si>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</si>
  <si>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</si>
  <si>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</si>
  <si>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</si>
  <si>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</si>
  <si>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</si>
  <si>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</si>
  <si>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</si>
  <si>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</si>
  <si>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</si>
  <si>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</si>
  <si>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</si>
  <si>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</si>
  <si>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</si>
  <si>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</si>
  <si>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</si>
  <si>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</si>
  <si>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</si>
  <si>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</si>
  <si>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</si>
  <si>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</si>
  <si>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</si>
  <si>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</si>
  <si>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</si>
  <si>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</si>
  <si>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</si>
  <si>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</si>
  <si>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</si>
  <si>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</si>
  <si>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</si>
  <si>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</si>
  <si>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</si>
  <si>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</si>
  <si>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</si>
  <si>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</si>
  <si>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</si>
  <si>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</si>
  <si>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</si>
  <si>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</si>
  <si>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</si>
  <si>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</si>
  <si>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</si>
  <si>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</si>
  <si>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</si>
  <si>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</si>
  <si>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</si>
  <si>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</si>
  <si>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</si>
  <si>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</si>
  <si>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</si>
  <si>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</si>
  <si>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</si>
  <si>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</si>
  <si>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</si>
  <si>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</si>
  <si>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</si>
  <si>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</si>
  <si>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</si>
  <si>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</si>
  <si>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</si>
  <si>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</si>
  <si>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</si>
  <si>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</si>
  <si>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</si>
  <si>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</si>
  <si>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</si>
  <si>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</si>
  <si>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</si>
  <si>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</si>
  <si>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</si>
  <si>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</si>
  <si>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</si>
  <si>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</si>
  <si>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</si>
  <si>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</si>
  <si>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</si>
  <si>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</si>
  <si>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</si>
  <si>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</si>
  <si>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</si>
  <si>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</si>
  <si>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</si>
  <si>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</si>
  <si>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</si>
  <si>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</si>
  <si>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</si>
  <si>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</si>
  <si>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</si>
  <si>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</si>
  <si>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</si>
  <si>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</si>
  <si>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</si>
  <si>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</si>
  <si>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</si>
  <si>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</si>
  <si>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</si>
  <si>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</si>
  <si>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</si>
  <si>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</si>
  <si>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</si>
  <si>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</si>
  <si>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</si>
  <si>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</si>
  <si>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</si>
  <si>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</si>
  <si>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</si>
  <si>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</si>
  <si>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</si>
  <si>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</si>
  <si>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</si>
  <si>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</si>
  <si>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</si>
  <si>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</si>
  <si>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</si>
  <si>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</si>
  <si>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</si>
  <si>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</si>
  <si>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</si>
  <si>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</si>
  <si>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</si>
  <si>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</si>
  <si>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</si>
  <si>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</si>
  <si>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</si>
  <si>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</si>
  <si>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</si>
  <si>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</si>
  <si>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</si>
  <si>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</si>
  <si>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</si>
  <si>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</si>
  <si>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</si>
  <si>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</si>
  <si>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</si>
  <si>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</si>
  <si>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</si>
  <si>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</si>
  <si>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</si>
  <si>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</si>
  <si>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</si>
  <si>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</si>
  <si>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</si>
  <si>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</si>
  <si>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</si>
  <si>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</si>
  <si>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</si>
  <si>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</si>
  <si>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</si>
  <si>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</si>
  <si>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</si>
  <si>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</si>
  <si>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</si>
  <si>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</si>
  <si>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</si>
  <si>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</si>
  <si>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</si>
  <si>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</si>
  <si>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</si>
  <si>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</si>
  <si>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</si>
  <si>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</si>
  <si>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</si>
  <si>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</si>
  <si>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</si>
  <si>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</si>
  <si>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</si>
  <si>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</si>
  <si>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</si>
  <si>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</si>
  <si>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</si>
  <si>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</si>
  <si>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</si>
  <si>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</si>
  <si>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</si>
  <si>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</si>
  <si>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</si>
  <si>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</si>
  <si>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</si>
  <si>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</si>
  <si>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</si>
  <si>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</si>
  <si>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</si>
  <si>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</si>
  <si>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</si>
  <si>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</si>
  <si>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</si>
  <si>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</si>
  <si>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</si>
  <si>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</si>
  <si>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</si>
  <si>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</si>
  <si>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</si>
  <si>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</si>
  <si>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</si>
  <si>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</si>
  <si>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</si>
  <si>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</si>
  <si>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</si>
  <si>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</si>
  <si>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</si>
  <si>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</si>
  <si>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</si>
  <si>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</si>
  <si>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</si>
  <si>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</si>
  <si>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</si>
  <si>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</si>
  <si>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</si>
  <si>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</si>
  <si>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</si>
  <si>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</si>
  <si>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</si>
  <si>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</si>
  <si>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</si>
  <si>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</si>
  <si>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</si>
  <si>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</si>
  <si>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</si>
  <si>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</si>
  <si>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</si>
  <si>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</si>
  <si>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</si>
  <si>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</si>
  <si>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</si>
  <si>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</si>
  <si>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</si>
  <si>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</si>
  <si>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</si>
  <si>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</si>
  <si>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</si>
  <si>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</si>
  <si>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</si>
  <si>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</si>
  <si>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</si>
  <si>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</si>
  <si>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</si>
  <si>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</si>
  <si>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</si>
  <si>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</si>
  <si>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</si>
  <si>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</si>
  <si>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</si>
  <si>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</si>
  <si>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</si>
  <si>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</si>
  <si>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</si>
  <si>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</si>
  <si>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</si>
  <si>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</si>
  <si>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</si>
  <si>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</si>
  <si>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</si>
  <si>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</si>
  <si>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</si>
  <si>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</si>
  <si>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</si>
  <si>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</si>
  <si>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</si>
  <si>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</si>
  <si>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</si>
  <si>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</si>
  <si>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</si>
  <si>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</si>
  <si>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</si>
  <si>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</si>
  <si>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</si>
  <si>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</si>
  <si>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</si>
  <si>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</si>
  <si>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</si>
  <si>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</si>
  <si>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</si>
  <si>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</si>
  <si>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</si>
  <si>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</si>
  <si>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</si>
  <si>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</si>
  <si>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</si>
  <si>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</si>
  <si>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</si>
  <si>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</si>
  <si>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</si>
  <si>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</si>
  <si>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</si>
  <si>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</si>
  <si>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</si>
  <si>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</si>
  <si>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</si>
  <si>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</si>
  <si>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</si>
  <si>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</si>
  <si>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</si>
  <si>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</si>
  <si>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</si>
  <si>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</si>
  <si>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</si>
  <si>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</si>
  <si>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</si>
  <si>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</si>
  <si>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</si>
  <si>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</si>
  <si>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</si>
  <si>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</si>
  <si>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</si>
  <si>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</si>
  <si>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</si>
  <si>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</si>
  <si>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</si>
  <si>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</si>
  <si>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</si>
  <si>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</si>
  <si>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</si>
  <si>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</si>
  <si>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</si>
  <si>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</si>
  <si>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</si>
  <si>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</si>
  <si>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</si>
  <si>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</si>
  <si>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</si>
  <si>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</si>
  <si>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</si>
  <si>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</si>
  <si>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</si>
  <si>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</si>
  <si>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</si>
  <si>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</si>
  <si>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</si>
  <si>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</si>
  <si>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</si>
  <si>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</si>
  <si>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</si>
  <si>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</si>
  <si>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</si>
  <si>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</si>
  <si>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</si>
  <si>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</si>
  <si>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</si>
  <si>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</si>
  <si>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73027</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</si>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</sst>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61</v>
      </c>
      <c r="E5" s="219">
        <f>SUM('Pt 2 Premium and Claims'!E$5,'Pt 2 Premium and Claims'!E$6,-'Pt 2 Premium and Claims'!E$7,-'Pt 2 Premium and Claims'!E$13,'Pt 2 Premium and Claims'!E$14:'Pt 2 Premium and Claims'!E$17)</f>
        <v>61</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-42620</v>
      </c>
      <c r="Q5" s="219">
        <f>SUM('Pt 2 Premium and Claims'!Q$5,'Pt 2 Premium and Claims'!Q$6,-'Pt 2 Premium and Claims'!Q$7,-'Pt 2 Premium and Claims'!Q$13,'Pt 2 Premium and Claims'!Q$14)</f>
        <v>-3939</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20734</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-24</v>
      </c>
      <c r="E12" s="219">
        <f>'Pt 2 Premium and Claims'!E$54</f>
        <v>758</v>
      </c>
      <c r="F12" s="219">
        <f>'Pt 2 Premium and Claims'!F$54</f>
        <v>0</v>
      </c>
      <c r="G12" s="219">
        <f>'Pt 2 Premium and Claims'!G$54</f>
        <v>0</v>
      </c>
      <c r="H12" s="219">
        <f>'Pt 2 Premium and Claims'!H$54</f>
        <v>0</v>
      </c>
      <c r="I12" s="218">
        <f>'Pt 2 Premium and Claims'!I$54</f>
        <v>0</v>
      </c>
      <c r="J12" s="218">
        <f>'Pt 2 Premium and Claims'!J$54</f>
        <v>-8331</v>
      </c>
      <c r="K12" s="219">
        <f>'Pt 2 Premium and Claims'!K$54</f>
        <v>62</v>
      </c>
      <c r="L12" s="219">
        <f>'Pt 2 Premium and Claims'!L$54</f>
        <v>0</v>
      </c>
      <c r="M12" s="219">
        <f>'Pt 2 Premium and Claims'!M$54</f>
        <v>0</v>
      </c>
      <c r="N12" s="219">
        <f>'Pt 2 Premium and Claims'!N$54</f>
        <v>0</v>
      </c>
      <c r="O12" s="218">
        <f>'Pt 2 Premium and Claims'!O$54</f>
        <v>0</v>
      </c>
      <c r="P12" s="218">
        <f>'Pt 2 Premium and Claims'!P$54</f>
        <v>-429369</v>
      </c>
      <c r="Q12" s="219">
        <f>'Pt 2 Premium and Claims'!Q$54</f>
        <v>-41065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-69913</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32703</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-191</v>
      </c>
      <c r="K15" s="223">
        <v>0</v>
      </c>
      <c r="L15" s="223"/>
      <c r="M15" s="273"/>
      <c r="N15" s="279"/>
      <c r="O15" s="222"/>
      <c r="P15" s="222">
        <v>-686</v>
      </c>
      <c r="Q15" s="223">
        <v>213</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-5</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-122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132855</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3506</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v>
      </c>
      <c r="E25" s="223">
        <v>-2</v>
      </c>
      <c r="F25" s="223"/>
      <c r="G25" s="223"/>
      <c r="H25" s="223"/>
      <c r="I25" s="222">
        <v>0</v>
      </c>
      <c r="J25" s="222">
        <v>3761</v>
      </c>
      <c r="K25" s="223">
        <v>3761</v>
      </c>
      <c r="L25" s="223"/>
      <c r="M25" s="223"/>
      <c r="N25" s="223"/>
      <c r="O25" s="222"/>
      <c r="P25" s="222">
        <v>143649</v>
      </c>
      <c r="Q25" s="223">
        <v>143649</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28589</v>
      </c>
      <c r="AU25" s="226">
        <v>0</v>
      </c>
      <c r="AV25" s="226">
        <v>-76827</v>
      </c>
      <c r="AW25" s="303"/>
    </row>
    <row r="26" spans="1:49" s="11" customFormat="1" x14ac:dyDescent="0.2">
      <c r="A26" s="41"/>
      <c r="B26" s="248" t="s">
        <v>242</v>
      </c>
      <c r="C26" s="209"/>
      <c r="D26" s="222">
        <v>4</v>
      </c>
      <c r="E26" s="223">
        <v>4</v>
      </c>
      <c r="F26" s="223"/>
      <c r="G26" s="223"/>
      <c r="H26" s="223"/>
      <c r="I26" s="222">
        <v>0</v>
      </c>
      <c r="J26" s="222">
        <v>0</v>
      </c>
      <c r="K26" s="223">
        <v>0</v>
      </c>
      <c r="L26" s="223"/>
      <c r="M26" s="223"/>
      <c r="N26" s="223"/>
      <c r="O26" s="222"/>
      <c r="P26" s="222">
        <v>2</v>
      </c>
      <c r="Q26" s="223">
        <v>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13</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668</v>
      </c>
      <c r="AU28" s="226">
        <v>0</v>
      </c>
      <c r="AV28" s="226">
        <v>1400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532</v>
      </c>
      <c r="K30" s="223">
        <v>532</v>
      </c>
      <c r="L30" s="223"/>
      <c r="M30" s="223"/>
      <c r="N30" s="223"/>
      <c r="O30" s="222"/>
      <c r="P30" s="222">
        <v>24664</v>
      </c>
      <c r="Q30" s="223">
        <v>24664</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3905</v>
      </c>
      <c r="AU30" s="226">
        <v>0</v>
      </c>
      <c r="AV30" s="226">
        <v>-15120</v>
      </c>
      <c r="AW30" s="303"/>
    </row>
    <row r="31" spans="1:49" x14ac:dyDescent="0.2">
      <c r="B31" s="248" t="s">
        <v>247</v>
      </c>
      <c r="C31" s="209"/>
      <c r="D31" s="222">
        <v>0</v>
      </c>
      <c r="E31" s="223">
        <v>0</v>
      </c>
      <c r="F31" s="223"/>
      <c r="G31" s="223"/>
      <c r="H31" s="223"/>
      <c r="I31" s="222">
        <v>0</v>
      </c>
      <c r="J31" s="222">
        <v>0</v>
      </c>
      <c r="K31" s="223">
        <v>0</v>
      </c>
      <c r="L31" s="223"/>
      <c r="M31" s="223"/>
      <c r="N31" s="223"/>
      <c r="O31" s="222"/>
      <c r="P31" s="222">
        <v>-46</v>
      </c>
      <c r="Q31" s="223">
        <v>-46</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145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90</v>
      </c>
      <c r="E34" s="223">
        <v>90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-38</v>
      </c>
      <c r="AU35" s="226">
        <v>0</v>
      </c>
      <c r="AV35" s="226">
        <v>437</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-1</v>
      </c>
      <c r="K37" s="231">
        <v>0</v>
      </c>
      <c r="L37" s="231"/>
      <c r="M37" s="231"/>
      <c r="N37" s="231"/>
      <c r="O37" s="230"/>
      <c r="P37" s="230">
        <v>-61</v>
      </c>
      <c r="Q37" s="231">
        <v>-3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11</v>
      </c>
      <c r="AU37" s="232">
        <v>0</v>
      </c>
      <c r="AV37" s="232">
        <v>10</v>
      </c>
      <c r="AW37" s="302"/>
    </row>
    <row r="38" spans="1:49" x14ac:dyDescent="0.2">
      <c r="B38" s="245" t="s">
        <v>254</v>
      </c>
      <c r="C38" s="209" t="s">
        <v>16</v>
      </c>
      <c r="D38" s="222">
        <v>0</v>
      </c>
      <c r="E38" s="223">
        <v>0</v>
      </c>
      <c r="F38" s="223"/>
      <c r="G38" s="223"/>
      <c r="H38" s="223"/>
      <c r="I38" s="222">
        <v>0</v>
      </c>
      <c r="J38" s="222">
        <v>-1</v>
      </c>
      <c r="K38" s="223">
        <v>0</v>
      </c>
      <c r="L38" s="223"/>
      <c r="M38" s="223"/>
      <c r="N38" s="223"/>
      <c r="O38" s="222"/>
      <c r="P38" s="222">
        <v>42</v>
      </c>
      <c r="Q38" s="223">
        <v>-3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-1</v>
      </c>
      <c r="K39" s="223">
        <v>0</v>
      </c>
      <c r="L39" s="223"/>
      <c r="M39" s="223"/>
      <c r="N39" s="223"/>
      <c r="O39" s="222"/>
      <c r="P39" s="222">
        <v>28</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20</v>
      </c>
      <c r="AU39" s="226">
        <v>0</v>
      </c>
      <c r="AV39" s="226">
        <v>18</v>
      </c>
      <c r="AW39" s="303"/>
    </row>
    <row r="40" spans="1:49" x14ac:dyDescent="0.2">
      <c r="B40" s="248" t="s">
        <v>256</v>
      </c>
      <c r="C40" s="209" t="s">
        <v>38</v>
      </c>
      <c r="D40" s="222">
        <v>0</v>
      </c>
      <c r="E40" s="223">
        <v>0</v>
      </c>
      <c r="F40" s="223"/>
      <c r="G40" s="223"/>
      <c r="H40" s="223"/>
      <c r="I40" s="222">
        <v>0</v>
      </c>
      <c r="J40" s="222">
        <v>-1</v>
      </c>
      <c r="K40" s="223">
        <v>0</v>
      </c>
      <c r="L40" s="223"/>
      <c r="M40" s="223"/>
      <c r="N40" s="223"/>
      <c r="O40" s="222"/>
      <c r="P40" s="222">
        <v>29</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18</v>
      </c>
      <c r="AU40" s="226">
        <v>0</v>
      </c>
      <c r="AV40" s="226">
        <v>16</v>
      </c>
      <c r="AW40" s="303"/>
    </row>
    <row r="41" spans="1:49" s="11" customFormat="1" ht="25.5" x14ac:dyDescent="0.2">
      <c r="A41" s="41"/>
      <c r="B41" s="248" t="s">
        <v>257</v>
      </c>
      <c r="C41" s="209" t="s">
        <v>129</v>
      </c>
      <c r="D41" s="222">
        <v>0</v>
      </c>
      <c r="E41" s="223">
        <v>0</v>
      </c>
      <c r="F41" s="223"/>
      <c r="G41" s="223"/>
      <c r="H41" s="223"/>
      <c r="I41" s="222">
        <v>0</v>
      </c>
      <c r="J41" s="222">
        <v>-1</v>
      </c>
      <c r="K41" s="223">
        <v>0</v>
      </c>
      <c r="L41" s="223"/>
      <c r="M41" s="223"/>
      <c r="N41" s="223"/>
      <c r="O41" s="222"/>
      <c r="P41" s="222">
        <v>39</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75</v>
      </c>
      <c r="AU41" s="226">
        <v>0</v>
      </c>
      <c r="AV41" s="226">
        <v>202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-500</v>
      </c>
      <c r="Q44" s="231">
        <v>-436</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1035</v>
      </c>
      <c r="AU44" s="232">
        <v>0</v>
      </c>
      <c r="AV44" s="232">
        <v>4605</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-685</v>
      </c>
      <c r="AU45" s="226">
        <v>0</v>
      </c>
      <c r="AV45" s="226">
        <v>114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2150</v>
      </c>
      <c r="AU46" s="226">
        <v>0</v>
      </c>
      <c r="AV46" s="226">
        <v>2023</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-88</v>
      </c>
      <c r="Q47" s="223">
        <v>-88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279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407</v>
      </c>
      <c r="AU49" s="226">
        <v>0</v>
      </c>
      <c r="AV49" s="226">
        <v>80857</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117</v>
      </c>
      <c r="AU50" s="226">
        <v>0</v>
      </c>
      <c r="AV50" s="226">
        <v>17775</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28099</v>
      </c>
      <c r="AU51" s="226">
        <v>0</v>
      </c>
      <c r="AV51" s="226">
        <v>73195</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21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-56606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v>
      </c>
      <c r="AU56" s="236">
        <v>0</v>
      </c>
      <c r="AV56" s="236">
        <v>35</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v>
      </c>
      <c r="AU57" s="239">
        <v>0</v>
      </c>
      <c r="AV57" s="239">
        <v>56</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17</v>
      </c>
      <c r="AU59" s="239">
        <v>0</v>
      </c>
      <c r="AV59" s="239">
        <v>650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1.4166666666666667</v>
      </c>
      <c r="AU60" s="242">
        <f>AU$59/12</f>
        <v>0</v>
      </c>
      <c r="AV60" s="242">
        <f>AV$59/12</f>
        <v>54.166666666666664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-882645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-62351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-103070</v>
      </c>
      <c r="Q5" s="332">
        <v>-8243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20791</v>
      </c>
      <c r="AU5" s="333">
        <v>0</v>
      </c>
      <c r="AV5" s="375"/>
      <c r="AW5" s="379"/>
    </row>
    <row r="6" spans="2:49" x14ac:dyDescent="0.2">
      <c r="B6" s="349" t="s">
        <v>278</v>
      </c>
      <c r="C6" s="337" t="s">
        <v>8</v>
      </c>
      <c r="D6" s="324">
        <v>61</v>
      </c>
      <c r="E6" s="325">
        <v>61</v>
      </c>
      <c r="F6" s="325"/>
      <c r="G6" s="326"/>
      <c r="H6" s="326"/>
      <c r="I6" s="324">
        <v>0</v>
      </c>
      <c r="J6" s="324">
        <v>0</v>
      </c>
      <c r="K6" s="325">
        <v>0</v>
      </c>
      <c r="L6" s="325"/>
      <c r="M6" s="325"/>
      <c r="N6" s="325"/>
      <c r="O6" s="324"/>
      <c r="P6" s="324">
        <v>4361</v>
      </c>
      <c r="Q6" s="325">
        <v>4361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-7</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621</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111</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96</v>
      </c>
      <c r="Q11" s="325">
        <v>2</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94</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-56710</v>
      </c>
      <c r="Q13" s="325">
        <v>57</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-61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16</v>
      </c>
      <c r="E23" s="368"/>
      <c r="F23" s="368"/>
      <c r="G23" s="368"/>
      <c r="H23" s="368"/>
      <c r="I23" s="370"/>
      <c r="J23" s="324">
        <v>-8331</v>
      </c>
      <c r="K23" s="368"/>
      <c r="L23" s="368"/>
      <c r="M23" s="368"/>
      <c r="N23" s="368"/>
      <c r="O23" s="370"/>
      <c r="P23" s="324">
        <v>-179133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65157</v>
      </c>
      <c r="AU23" s="327">
        <v>0</v>
      </c>
      <c r="AV23" s="374"/>
      <c r="AW23" s="380"/>
    </row>
    <row r="24" spans="2:49" ht="28.5" customHeight="1" x14ac:dyDescent="0.2">
      <c r="B24" s="351" t="s">
        <v>114</v>
      </c>
      <c r="C24" s="337"/>
      <c r="D24" s="371"/>
      <c r="E24" s="325">
        <v>776</v>
      </c>
      <c r="F24" s="325"/>
      <c r="G24" s="325"/>
      <c r="H24" s="325"/>
      <c r="I24" s="324">
        <v>0</v>
      </c>
      <c r="J24" s="371"/>
      <c r="K24" s="325">
        <v>62</v>
      </c>
      <c r="L24" s="325"/>
      <c r="M24" s="325"/>
      <c r="N24" s="325"/>
      <c r="O24" s="324"/>
      <c r="P24" s="371"/>
      <c r="Q24" s="325">
        <v>-37796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v>
      </c>
      <c r="E26" s="368"/>
      <c r="F26" s="368"/>
      <c r="G26" s="368"/>
      <c r="H26" s="368"/>
      <c r="I26" s="370"/>
      <c r="J26" s="324">
        <v>0</v>
      </c>
      <c r="K26" s="368"/>
      <c r="L26" s="368"/>
      <c r="M26" s="368"/>
      <c r="N26" s="368"/>
      <c r="O26" s="370"/>
      <c r="P26" s="324">
        <v>-3927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-1790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24</v>
      </c>
      <c r="E28" s="369"/>
      <c r="F28" s="369"/>
      <c r="G28" s="369"/>
      <c r="H28" s="369"/>
      <c r="I28" s="371"/>
      <c r="J28" s="324">
        <v>0</v>
      </c>
      <c r="K28" s="369"/>
      <c r="L28" s="369"/>
      <c r="M28" s="369"/>
      <c r="N28" s="369"/>
      <c r="O28" s="371"/>
      <c r="P28" s="324">
        <v>251154</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-484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v>
      </c>
      <c r="E30" s="368"/>
      <c r="F30" s="368"/>
      <c r="G30" s="368"/>
      <c r="H30" s="368"/>
      <c r="I30" s="370"/>
      <c r="J30" s="324">
        <v>0</v>
      </c>
      <c r="K30" s="368"/>
      <c r="L30" s="368"/>
      <c r="M30" s="368"/>
      <c r="N30" s="368"/>
      <c r="O30" s="370"/>
      <c r="P30" s="324">
        <v>-74</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417396</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v>
      </c>
      <c r="E32" s="369"/>
      <c r="F32" s="369"/>
      <c r="G32" s="369"/>
      <c r="H32" s="369"/>
      <c r="I32" s="371"/>
      <c r="J32" s="324">
        <v>0</v>
      </c>
      <c r="K32" s="369"/>
      <c r="L32" s="369"/>
      <c r="M32" s="369"/>
      <c r="N32" s="369"/>
      <c r="O32" s="371"/>
      <c r="P32" s="324">
        <v>-862</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552910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9</v>
      </c>
      <c r="E34" s="368"/>
      <c r="F34" s="368"/>
      <c r="G34" s="368"/>
      <c r="H34" s="368"/>
      <c r="I34" s="370"/>
      <c r="J34" s="324">
        <v>0</v>
      </c>
      <c r="K34" s="368"/>
      <c r="L34" s="368"/>
      <c r="M34" s="368"/>
      <c r="N34" s="368"/>
      <c r="O34" s="370"/>
      <c r="P34" s="324">
        <v>-23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9</v>
      </c>
      <c r="F35" s="325"/>
      <c r="G35" s="325"/>
      <c r="H35" s="325"/>
      <c r="I35" s="324">
        <v>0</v>
      </c>
      <c r="J35" s="371"/>
      <c r="K35" s="325">
        <v>0</v>
      </c>
      <c r="L35" s="325"/>
      <c r="M35" s="325"/>
      <c r="N35" s="325"/>
      <c r="O35" s="324"/>
      <c r="P35" s="371"/>
      <c r="Q35" s="325">
        <v>-23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27</v>
      </c>
      <c r="E36" s="325">
        <v>27</v>
      </c>
      <c r="F36" s="325"/>
      <c r="G36" s="325"/>
      <c r="H36" s="325"/>
      <c r="I36" s="324">
        <v>0</v>
      </c>
      <c r="J36" s="324">
        <v>0</v>
      </c>
      <c r="K36" s="325">
        <v>0</v>
      </c>
      <c r="L36" s="325"/>
      <c r="M36" s="325"/>
      <c r="N36" s="325"/>
      <c r="O36" s="324"/>
      <c r="P36" s="324">
        <v>1464</v>
      </c>
      <c r="Q36" s="325">
        <v>1464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96</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94</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114</v>
      </c>
      <c r="Q45" s="325">
        <v>6</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13603</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19031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-24</v>
      </c>
      <c r="E54" s="329">
        <f>E24+E27+E31+E35-E36+E39+E42+E45+E46-E49+E51+E52+E53</f>
        <v>758</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-8331</v>
      </c>
      <c r="K54" s="329">
        <f>K24+K27+K31+K35-K36+K39+K42+K45+K46-K49+K51+K52+K53</f>
        <v>62</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-429369</v>
      </c>
      <c r="Q54" s="329">
        <f>Q24+Q27+Q31+Q35-Q36+Q39+Q42+Q45+Q46-Q49+Q51+Q52+Q53</f>
        <v>-41065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-69913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-193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8642</v>
      </c>
      <c r="D6" s="404">
        <v>5653</v>
      </c>
      <c r="E6" s="406">
        <f>SUM('Pt 1 Summary of Data'!E$12,'Pt 1 Summary of Data'!E$22)+SUM('Pt 1 Summary of Data'!G$12,'Pt 1 Summary of Data'!G$22)-SUM('Pt 1 Summary of Data'!H$12,'Pt 1 Summary of Data'!H$22)</f>
        <v>758</v>
      </c>
      <c r="F6" s="406">
        <f>SUM(C6:E6)</f>
        <v>15053</v>
      </c>
      <c r="G6" s="407">
        <f>SUM('Pt 1 Summary of Data'!I$12,'Pt 1 Summary of Data'!I$22)</f>
        <v>0</v>
      </c>
      <c r="H6" s="403">
        <v>521896</v>
      </c>
      <c r="I6" s="404">
        <v>-1640</v>
      </c>
      <c r="J6" s="406">
        <f>SUM('Pt 1 Summary of Data'!K$12,'Pt 1 Summary of Data'!K$22)+SUM('Pt 1 Summary of Data'!M$12,'Pt 1 Summary of Data'!M$22)-SUM('Pt 1 Summary of Data'!N$12,'Pt 1 Summary of Data'!N$22)</f>
        <v>62</v>
      </c>
      <c r="K6" s="406">
        <f>SUM(H6:J6)</f>
        <v>520318</v>
      </c>
      <c r="L6" s="407">
        <f>SUM('Pt 1 Summary of Data'!O$12,'Pt 1 Summary of Data'!O$22)</f>
        <v>0</v>
      </c>
      <c r="M6" s="403">
        <v>52234289</v>
      </c>
      <c r="N6" s="404">
        <v>1158196</v>
      </c>
      <c r="O6" s="406">
        <f>SUM('Pt 1 Summary of Data'!Q$12,'Pt 1 Summary of Data'!Q$22)+SUM('Pt 1 Summary of Data'!S$12,'Pt 1 Summary of Data'!S$22)-SUM('Pt 1 Summary of Data'!T$12,'Pt 1 Summary of Data'!T$22)</f>
        <v>-41065</v>
      </c>
      <c r="P6" s="406">
        <f>SUM(M6:O6)</f>
        <v>53351420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73</v>
      </c>
      <c r="D7" s="404">
        <v>11</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84</v>
      </c>
      <c r="G7" s="407">
        <f>SUM('Pt 1 Summary of Data'!I$37:I$41)+MAX(0,MIN(VALUE('Pt 1 Summary of Data'!I$42),0.3%*('Pt 1 Summary of Data'!I$5-SUM(G$9:G$10))))</f>
        <v>0</v>
      </c>
      <c r="H7" s="403">
        <v>1758</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1758</v>
      </c>
      <c r="L7" s="407">
        <f>SUM('Pt 1 Summary of Data'!O$37:O$41)+MAX(0,MIN(VALUE('Pt 1 Summary of Data'!O$42),0.3%*('Pt 1 Summary of Data'!O$5-L$10)))</f>
        <v>0</v>
      </c>
      <c r="M7" s="403">
        <v>282251</v>
      </c>
      <c r="N7" s="404">
        <v>2048</v>
      </c>
      <c r="O7" s="406">
        <f>SUM('Pt 1 Summary of Data'!Q$37:Q$41)+SUM('Pt 1 Summary of Data'!S$37:S$41)-SUM('Pt 1 Summary of Data'!T$37:T$41)+MAX(0,MIN('Pt 1 Summary of Data'!Q$42+'Pt 1 Summary of Data'!S$42-'Pt 1 Summary of Data'!T$42,0.3%*('Pt 1 Summary of Data'!Q$5+'Pt 1 Summary of Data'!S$5-'Pt 1 Summary of Data'!T$5)))</f>
        <v>-6</v>
      </c>
      <c r="P7" s="406">
        <f>SUM(M7:O7)</f>
        <v>284293</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8715</v>
      </c>
      <c r="D12" s="406">
        <f>SUM(D$6:D$7) - SUM(D$8:D$11)+IF(AND(OR('Company Information'!$C$12="District of Columbia",'Company Information'!$C$12="Massachusetts",'Company Information'!$C$12="Vermont"),SUM($C$6:$F$11,$C$15:$F$16,$C$38:$D$38)&lt;&gt;0),SUM(I$6:I$7) - SUM(I$10:I$11),0)</f>
        <v>5664</v>
      </c>
      <c r="E12" s="406">
        <f>SUM(E$6:E$7)-SUM(E$8:E$11)+IF(AND(OR('Company Information'!$C$12="District of Columbia",'Company Information'!$C$12="Massachusetts",'Company Information'!$C$12="Vermont"),SUM($C$6:$F$11,$C$15:$F$16,$C$38:$D$38)&lt;&gt;0),SUM(J$6:J$7)-SUM(J$10:J$11),0)</f>
        <v>758</v>
      </c>
      <c r="F12" s="406">
        <f>IFERROR(SUM(C$12:E$12)+C$17*MAX(0,E$50-C$50)+D$17*MAX(0,E$50-D$50),0)</f>
        <v>15137</v>
      </c>
      <c r="G12" s="453"/>
      <c r="H12" s="405">
        <f>SUM(H$6:H$7)+IF(AND(OR('Company Information'!$C$12="District of Columbia",'Company Information'!$C$12="Massachusetts",'Company Information'!$C$12="Vermont"),SUM($H$6:$K$11,$H$15:$K$16,$H$38:$I$38)&lt;&gt;0),SUM(C$6:C$7),0)</f>
        <v>523654</v>
      </c>
      <c r="I12" s="406">
        <f>SUM(I$6:I$7) - SUM(I$10:I$11)+IF(AND(OR('Company Information'!$C$12="District of Columbia",'Company Information'!$C$12="Massachusetts",'Company Information'!$C$12="Vermont"),SUM($H$6:$K$11,$H$15:$K$16,$H$38:$I$38)&lt;&gt;0),SUM(D$6:D$7) - SUM(D$8:D$11),0)</f>
        <v>-1640</v>
      </c>
      <c r="J12" s="406">
        <f>SUM(J$6:J$7)-SUM(J$10:J$11)+IF(AND(OR('Company Information'!$C$12="District of Columbia",'Company Information'!$C$12="Massachusetts",'Company Information'!$C$12="Vermont"),SUM($H$6:$K$11,$H$15:$K$16,$H$38:$I$38)&lt;&gt;0),SUM(E$6:E$7)-SUM(E$8:E$11),0)</f>
        <v>62</v>
      </c>
      <c r="K12" s="406">
        <f>IFERROR(SUM(H$12:J$12)+H$17*MAX(0,J$50-H$50)+I$17*MAX(0,J$50-I$50),0)</f>
        <v>522076</v>
      </c>
      <c r="L12" s="453"/>
      <c r="M12" s="405">
        <f>SUM(M$6:M$7)</f>
        <v>52516540</v>
      </c>
      <c r="N12" s="406">
        <f>SUM(N$6:N$7)</f>
        <v>1160244</v>
      </c>
      <c r="O12" s="406">
        <f>SUM(O$6:O$7)</f>
        <v>-41071</v>
      </c>
      <c r="P12" s="406">
        <f>SUM(M$12:O$12)+M$17*MAX(0,O$50-M$50)+N$17*MAX(0,O$50-N$50)</f>
        <v>53635713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2000</v>
      </c>
      <c r="D15" s="409">
        <v>239</v>
      </c>
      <c r="E15" s="401">
        <f>SUM('Pt 1 Summary of Data'!E$5:E$7)+SUM('Pt 1 Summary of Data'!G$5:G$7)-SUM('Pt 1 Summary of Data'!H$5:H$7)-SUM(E$9:E$11)</f>
        <v>61</v>
      </c>
      <c r="F15" s="401">
        <f>SUM(C15:E15)</f>
        <v>2300</v>
      </c>
      <c r="G15" s="402">
        <f>SUM('Pt 1 Summary of Data'!I$5:I$7)-SUM(G$9:G$10)</f>
        <v>0</v>
      </c>
      <c r="H15" s="408">
        <v>738241</v>
      </c>
      <c r="I15" s="409">
        <v>0</v>
      </c>
      <c r="J15" s="401">
        <f>SUM('Pt 1 Summary of Data'!K$5:K$7)+SUM('Pt 1 Summary of Data'!M$5:M$7)-SUM('Pt 1 Summary of Data'!N$5:N$7)-SUM(J$10:J$11)</f>
        <v>0</v>
      </c>
      <c r="K15" s="401">
        <f>SUM(H15:J15)</f>
        <v>738241</v>
      </c>
      <c r="L15" s="402">
        <f>SUM('Pt 1 Summary of Data'!O$5:O$7)-L$10</f>
        <v>0</v>
      </c>
      <c r="M15" s="408">
        <v>69901979</v>
      </c>
      <c r="N15" s="409">
        <v>3490656</v>
      </c>
      <c r="O15" s="401">
        <f>SUM('Pt 1 Summary of Data'!Q$5:Q$7)+SUM('Pt 1 Summary of Data'!S$5:S$7)-SUM('Pt 1 Summary of Data'!T$5:T$7)+N$56</f>
        <v>-3939</v>
      </c>
      <c r="P15" s="401">
        <f>SUM(M15:O15)</f>
        <v>73388696</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1641</v>
      </c>
      <c r="D16" s="404">
        <v>1791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92</v>
      </c>
      <c r="F16" s="406">
        <f>SUM(C16:E16)</f>
        <v>3524</v>
      </c>
      <c r="G16" s="407">
        <f>SUM('Pt 1 Summary of Data'!I$25:I$28,'Pt 1 Summary of Data'!I$30,'Pt 1 Summary of Data'!I$34:I$35)+IF('Company Information'!$C$15="No",IF(MAX('Pt 1 Summary of Data'!I$31:I$32)=0,MIN('Pt 1 Summary of Data'!I$31:I$32),MAX('Pt 1 Summary of Data'!I$31:I$32)),SUM('Pt 1 Summary of Data'!I$31:I$32))</f>
        <v>0</v>
      </c>
      <c r="H16" s="403">
        <v>100794</v>
      </c>
      <c r="I16" s="404">
        <v>-6278</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4293</v>
      </c>
      <c r="K16" s="406">
        <f>SUM(H16:J16)</f>
        <v>98809</v>
      </c>
      <c r="L16" s="407">
        <f>SUM('Pt 1 Summary of Data'!O$25:O$28,'Pt 1 Summary of Data'!O$30,'Pt 1 Summary of Data'!O$34:O$35)+IF('Company Information'!$C$15="No",IF(MAX('Pt 1 Summary of Data'!O$31:O$32)=0,MIN('Pt 1 Summary of Data'!O$31:O$32),MAX('Pt 1 Summary of Data'!O$31:O$32)),SUM('Pt 1 Summary of Data'!O$31:O$32))</f>
        <v>0</v>
      </c>
      <c r="M16" s="403">
        <v>5230785</v>
      </c>
      <c r="N16" s="404">
        <v>-661053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168269</v>
      </c>
      <c r="P16" s="406">
        <f>SUM(M16:O16)</f>
        <v>4738001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70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70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359</v>
      </c>
      <c r="D17" s="406">
        <f>D$15-D$16+IF(AND(OR('Company Information'!$C$12="District of Columbia",'Company Information'!$C$12="Massachusetts",'Company Information'!$C$12="Vermont"),SUM($C$6:$F$11,$C$15:$F$16,$C$38:$D$38)&lt;&gt;0),I$15-I$16,0)</f>
        <v>-1552</v>
      </c>
      <c r="E17" s="406">
        <f>E$15-E$16+IF(AND(OR('Company Information'!$C$12="District of Columbia",'Company Information'!$C$12="Massachusetts",'Company Information'!$C$12="Vermont"),SUM($C$6:$F$11,$C$15:$F$16,$C$38:$D$38)&lt;&gt;0),J$15-J$16,0)</f>
        <v>-31</v>
      </c>
      <c r="F17" s="406">
        <f>F$15-F$16+IF(AND(OR('Company Information'!$C$12="District of Columbia",'Company Information'!$C$12="Massachusetts",'Company Information'!$C$12="Vermont"),SUM($C$6:$F$11,$C$15:$F$16,$C$38:$D$38)&lt;&gt;0),K$15-K$16,0)</f>
        <v>-1224</v>
      </c>
      <c r="G17" s="456"/>
      <c r="H17" s="405">
        <f>H$15-H$16+IF(AND(OR('Company Information'!$C$12="District of Columbia",'Company Information'!$C$12="Massachusetts",'Company Information'!$C$12="Vermont"),SUM($H$6:$K$11,$H$15:$K$16,$H$38:$I$38)&lt;&gt;0),C$15-C$16,0)</f>
        <v>637447</v>
      </c>
      <c r="I17" s="406">
        <f>I$15-I$16+IF(AND(OR('Company Information'!$C$12="District of Columbia",'Company Information'!$C$12="Massachusetts",'Company Information'!$C$12="Vermont"),SUM($H$6:$K$11,$H$15:$K$16,$H$38:$I$38)&lt;&gt;0),D$15-D$16,0)</f>
        <v>6278</v>
      </c>
      <c r="J17" s="406">
        <f>J$15-J$16+IF(AND(OR('Company Information'!$C$12="District of Columbia",'Company Information'!$C$12="Massachusetts",'Company Information'!$C$12="Vermont"),SUM($H$6:$K$11,$H$15:$K$16,$H$38:$I$38)&lt;&gt;0),E$15-E$16,0)</f>
        <v>-4293</v>
      </c>
      <c r="K17" s="406">
        <f>K$15-K$16+IF(AND(OR('Company Information'!$C$12="District of Columbia",'Company Information'!$C$12="Massachusetts",'Company Information'!$C$12="Vermont"),SUM($H$6:$K$11,$H$15:$K$16,$H$38:$I$38)&lt;&gt;0),F$15-F$16,0)</f>
        <v>639432</v>
      </c>
      <c r="L17" s="456"/>
      <c r="M17" s="405">
        <f>M$15-M$16</f>
        <v>64671194</v>
      </c>
      <c r="N17" s="406">
        <f>N$15-N$16</f>
        <v>4151709</v>
      </c>
      <c r="O17" s="406">
        <f>O$15-O$16</f>
        <v>-172208</v>
      </c>
      <c r="P17" s="406">
        <f>P$15-P$16</f>
        <v>68650695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-70</v>
      </c>
      <c r="Z17" s="406">
        <f>Z$15-Z$16</f>
        <v>0</v>
      </c>
      <c r="AA17" s="406">
        <f>AA$15-AA$16</f>
        <v>0</v>
      </c>
      <c r="AB17" s="406">
        <f>AB$15-AB$16</f>
        <v>-70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2.3332999999999999</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6.3332999999999995</v>
      </c>
      <c r="G38" s="454"/>
      <c r="H38" s="410">
        <v>81.916700000000006</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81.916700000000006</v>
      </c>
      <c r="L38" s="454"/>
      <c r="M38" s="410">
        <v>12180.193300000001</v>
      </c>
      <c r="N38" s="411">
        <v>281.08330000000001</v>
      </c>
      <c r="O38" s="438">
        <f>('Pt 1 Summary of Data'!Q$59+'Pt 1 Summary of Data'!S$59-'Pt 1 Summary of Data'!T$59)/12</f>
        <v>0</v>
      </c>
      <c r="P38" s="438">
        <f>SUM(M$38:O$38)</f>
        <v>12461.276600000001</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2.4359148933333331E-2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2.4359148933333331E-2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0.81205459110589484</v>
      </c>
      <c r="N45" s="442" t="str">
        <f>IF(OR(N$38&lt;1000,N$17&lt;=0),"",N$12/N$17)</f>
        <v/>
      </c>
      <c r="O45" s="442" t="str">
        <f>IF(OR(O$38&lt;1000,O$17&lt;=0),"",O$12/O$17)</f>
        <v/>
      </c>
      <c r="P45" s="442">
        <f>IF(OR(P$38&lt;1000,P$17&lt;=0),"",P$12/P$17)</f>
        <v>0.78128434096697785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2.4359148933333331E-2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0.80600000000000005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0.80600000000000005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32622</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13969</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132855</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