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45" i="10"/>
  <c r="Z17" i="10"/>
  <c r="Z13" i="10"/>
  <c r="Y17" i="10"/>
  <c r="Y13" i="10"/>
  <c r="X49" i="10"/>
  <c r="X40" i="10"/>
  <c r="T49" i="10"/>
  <c r="T40" i="10"/>
  <c r="P49" i="10"/>
  <c r="P40" i="10"/>
  <c r="N17" i="10"/>
  <c r="N44" i="10" s="1"/>
  <c r="N12" i="10"/>
  <c r="M44" i="10"/>
  <c r="M17" i="10"/>
  <c r="M12" i="10"/>
  <c r="L35" i="10"/>
  <c r="L34" i="10"/>
  <c r="L22" i="10"/>
  <c r="L16" i="10"/>
  <c r="L10" i="10"/>
  <c r="L15" i="10" s="1"/>
  <c r="K49" i="10"/>
  <c r="K40" i="10"/>
  <c r="K11" i="10"/>
  <c r="J11" i="10"/>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54" i="18"/>
  <c r="AB36" i="18"/>
  <c r="AB35" i="18"/>
  <c r="AB11" i="18"/>
  <c r="AB10" i="18"/>
  <c r="AA55" i="18"/>
  <c r="AA54" i="18"/>
  <c r="AA12" i="18"/>
  <c r="AA11" i="18"/>
  <c r="AA9" i="18"/>
  <c r="Y56" i="18"/>
  <c r="Y55" i="18" s="1"/>
  <c r="Y22" i="4" s="1"/>
  <c r="Y54" i="18"/>
  <c r="Y36" i="18"/>
  <c r="Y35" i="18"/>
  <c r="Y11" i="18"/>
  <c r="Y10" i="18"/>
  <c r="X55" i="18"/>
  <c r="X54" i="18"/>
  <c r="X12" i="18"/>
  <c r="X11" i="18"/>
  <c r="X9" i="18"/>
  <c r="V56" i="18"/>
  <c r="V55" i="18" s="1"/>
  <c r="V22" i="4" s="1"/>
  <c r="V54" i="18"/>
  <c r="V36" i="18"/>
  <c r="V35" i="18"/>
  <c r="V11" i="18"/>
  <c r="V10" i="18"/>
  <c r="V6" i="18"/>
  <c r="U55" i="18"/>
  <c r="U54" i="18"/>
  <c r="U12" i="18"/>
  <c r="U11" i="18"/>
  <c r="U9" i="18"/>
  <c r="Q56" i="18"/>
  <c r="Q55" i="18"/>
  <c r="Q36" i="18"/>
  <c r="Q35" i="18"/>
  <c r="Q54" i="18" s="1"/>
  <c r="Q12" i="4" s="1"/>
  <c r="O6" i="10" s="1"/>
  <c r="Q11" i="18"/>
  <c r="Q10" i="18"/>
  <c r="P55" i="18"/>
  <c r="P54" i="18"/>
  <c r="P12" i="18"/>
  <c r="P11" i="18"/>
  <c r="P9" i="18"/>
  <c r="O55" i="18"/>
  <c r="O54" i="18"/>
  <c r="O11" i="18"/>
  <c r="O10" i="18"/>
  <c r="K56" i="18"/>
  <c r="K55" i="18"/>
  <c r="K36" i="18"/>
  <c r="K35" i="18"/>
  <c r="K54" i="18" s="1"/>
  <c r="K12" i="4" s="1"/>
  <c r="J6" i="10"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12" i="4"/>
  <c r="AA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1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1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22" i="4"/>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22" i="4"/>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F6" i="10" l="1"/>
  <c r="C17" i="10" s="1"/>
  <c r="L29" i="10"/>
  <c r="L21" i="10"/>
  <c r="L24" i="10"/>
  <c r="L23" i="10" s="1"/>
  <c r="P15" i="10"/>
  <c r="P17" i="10" s="1"/>
  <c r="O17" i="10"/>
  <c r="X37" i="10"/>
  <c r="F15" i="10"/>
  <c r="F37" i="10"/>
  <c r="G25" i="10"/>
  <c r="K15" i="10"/>
  <c r="T15" i="10"/>
  <c r="T37" i="10"/>
  <c r="W6" i="10"/>
  <c r="AB37" i="10"/>
  <c r="J12" i="10"/>
  <c r="K6" i="10"/>
  <c r="H17" i="10" s="1"/>
  <c r="H12" i="10"/>
  <c r="G20" i="10"/>
  <c r="K37" i="10"/>
  <c r="AA13" i="10"/>
  <c r="AB6" i="10"/>
  <c r="AB13" i="10" s="1"/>
  <c r="L20" i="10"/>
  <c r="P37" i="10"/>
  <c r="S6" i="10"/>
  <c r="P6" i="10"/>
  <c r="L25" i="10"/>
  <c r="J7" i="10"/>
  <c r="K7" i="10" s="1"/>
  <c r="S7" i="10"/>
  <c r="T7" i="10" s="1"/>
  <c r="AA15" i="10"/>
  <c r="E7" i="10"/>
  <c r="F7" i="10" s="1"/>
  <c r="L19" i="10"/>
  <c r="O7" i="10"/>
  <c r="P7" i="10" s="1"/>
  <c r="W15" i="10"/>
  <c r="Y45" i="10"/>
  <c r="G7" i="10"/>
  <c r="G29" i="10" s="1"/>
  <c r="L28" i="10"/>
  <c r="H44" i="10" l="1"/>
  <c r="C44" i="10"/>
  <c r="T6" i="10"/>
  <c r="Q17" i="10"/>
  <c r="S13" i="10"/>
  <c r="R17" i="10"/>
  <c r="R45" i="10" s="1"/>
  <c r="Q13" i="10"/>
  <c r="R13" i="10"/>
  <c r="T51" i="10"/>
  <c r="T52" i="10" s="1"/>
  <c r="F11" i="16" s="1"/>
  <c r="T46" i="10"/>
  <c r="T38" i="10"/>
  <c r="T41" i="10"/>
  <c r="J17" i="10"/>
  <c r="J44" i="10" s="1"/>
  <c r="F17" i="10"/>
  <c r="C12" i="10"/>
  <c r="W17" i="10"/>
  <c r="W45" i="10" s="1"/>
  <c r="X15" i="10"/>
  <c r="AA17" i="10"/>
  <c r="AA45" i="10" s="1"/>
  <c r="AB15" i="10"/>
  <c r="AB17" i="10" s="1"/>
  <c r="P51" i="10"/>
  <c r="G19" i="10"/>
  <c r="G24" i="10" s="1"/>
  <c r="G23" i="10" s="1"/>
  <c r="I17" i="10"/>
  <c r="I44" i="10" s="1"/>
  <c r="K17" i="10"/>
  <c r="G21" i="10"/>
  <c r="F51" i="10"/>
  <c r="F52" i="10" s="1"/>
  <c r="C11" i="16" s="1"/>
  <c r="F46" i="10"/>
  <c r="F44" i="10"/>
  <c r="F47" i="10" s="1"/>
  <c r="F50" i="10" s="1"/>
  <c r="F41" i="10"/>
  <c r="X41" i="10"/>
  <c r="X51" i="10"/>
  <c r="X52" i="10" s="1"/>
  <c r="G11" i="16" s="1"/>
  <c r="X46" i="10"/>
  <c r="X38" i="10"/>
  <c r="D17" i="10"/>
  <c r="D44" i="10" s="1"/>
  <c r="F38" i="10" s="1"/>
  <c r="G27" i="10"/>
  <c r="AB45" i="10"/>
  <c r="AB47" i="10" s="1"/>
  <c r="AB50" i="10" s="1"/>
  <c r="AB41" i="10"/>
  <c r="AB51" i="10"/>
  <c r="AB52" i="10" s="1"/>
  <c r="H11" i="16" s="1"/>
  <c r="AB46" i="10"/>
  <c r="AB38" i="10"/>
  <c r="E12" i="10"/>
  <c r="S17" i="10"/>
  <c r="S45" i="10" s="1"/>
  <c r="O12" i="10"/>
  <c r="L27" i="10"/>
  <c r="K51" i="10"/>
  <c r="K52" i="10" s="1"/>
  <c r="D11" i="16" s="1"/>
  <c r="K46" i="10"/>
  <c r="K38" i="10"/>
  <c r="K44" i="10"/>
  <c r="K47" i="10" s="1"/>
  <c r="K50" i="10" s="1"/>
  <c r="K41" i="10"/>
  <c r="I12" i="10"/>
  <c r="V13" i="10"/>
  <c r="X6" i="10"/>
  <c r="U17" i="10" s="1"/>
  <c r="V17" i="10"/>
  <c r="V45" i="10" s="1"/>
  <c r="U13" i="10"/>
  <c r="T17" i="10"/>
  <c r="T45" i="10" s="1"/>
  <c r="T47" i="10" s="1"/>
  <c r="T50" i="10" s="1"/>
  <c r="G28" i="10"/>
  <c r="E17" i="10"/>
  <c r="E44" i="10" s="1"/>
  <c r="D12" i="10"/>
  <c r="F12" i="10" s="1"/>
  <c r="U45" i="10" l="1"/>
  <c r="X13" i="10"/>
  <c r="O44" i="10"/>
  <c r="P38" i="10" s="1"/>
  <c r="P41" i="10" s="1"/>
  <c r="P46" i="10" s="1"/>
  <c r="P12" i="10"/>
  <c r="P44" i="10" s="1"/>
  <c r="L31" i="10"/>
  <c r="L32" i="10" s="1"/>
  <c r="L33" i="10" s="1"/>
  <c r="L26" i="10"/>
  <c r="L30" i="10" s="1"/>
  <c r="X17" i="10"/>
  <c r="X45" i="10" s="1"/>
  <c r="X47" i="10" s="1"/>
  <c r="X50" i="10" s="1"/>
  <c r="Q45" i="10"/>
  <c r="T13" i="10"/>
  <c r="K12" i="10"/>
  <c r="G26" i="10"/>
  <c r="G30" i="10" s="1"/>
  <c r="G31" i="10"/>
  <c r="G32" i="10" s="1"/>
  <c r="G33" i="10" s="1"/>
  <c r="W13" i="10"/>
  <c r="P47" i="10" l="1"/>
  <c r="P50" i="10" s="1"/>
  <c r="P52" i="10" s="1"/>
  <c r="E11" i="16" s="1"/>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<sst xmlns="http://schemas.openxmlformats.org/spreadsheetml/2006/main" count="570" uniqueCount="508">
  <si>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</si>
  <si>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</si>
  <si>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</si>
  <si>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</si>
  <si>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</si>
  <si>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</si>
  <si>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</si>
  <si>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</si>
  <si>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</si>
  <si>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</si>
  <si>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</si>
  <si>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</si>
  <si>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</si>
  <si>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</si>
  <si>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</si>
  <si>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</si>
  <si>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</si>
  <si>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</si>
  <si>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</si>
  <si>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</si>
  <si>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</si>
  <si>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</si>
  <si>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</si>
  <si>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</si>
  <si>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</si>
  <si>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</si>
  <si>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</si>
  <si>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</si>
  <si>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</si>
  <si>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</si>
  <si>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</si>
  <si>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</si>
  <si>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</si>
  <si>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</si>
  <si>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</si>
  <si>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</si>
  <si>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</si>
  <si>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</si>
  <si>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</si>
  <si>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</si>
  <si>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</si>
  <si>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</si>
  <si>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</si>
  <si>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</si>
  <si>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</si>
  <si>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</si>
  <si>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</si>
  <si>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</si>
  <si>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</si>
  <si>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</si>
  <si>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</si>
  <si>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</si>
  <si>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</si>
  <si>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</si>
  <si>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</si>
  <si>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</si>
  <si>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</si>
  <si>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</si>
  <si>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</si>
  <si>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</si>
  <si>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</si>
  <si>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</si>
  <si>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</si>
  <si>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</si>
  <si>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</si>
  <si>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</si>
  <si>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</si>
  <si>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</si>
  <si>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</si>
  <si>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</si>
  <si>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</si>
  <si>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</si>
  <si>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</si>
  <si>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</si>
  <si>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</si>
  <si>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</si>
  <si>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</si>
  <si>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</si>
  <si>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</si>
  <si>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</si>
  <si>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</si>
  <si>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</si>
  <si>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</si>
  <si>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</si>
  <si>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</si>
  <si>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</si>
  <si>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</si>
  <si>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</si>
  <si>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</si>
  <si>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</si>
  <si>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</si>
  <si>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</si>
  <si>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</si>
  <si>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</si>
  <si>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</si>
  <si>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</si>
  <si>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</si>
  <si>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</si>
  <si>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</si>
  <si>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</si>
  <si>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</si>
  <si>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</si>
  <si>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</si>
  <si>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</si>
  <si>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</si>
  <si>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</si>
  <si>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</si>
  <si>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</si>
  <si>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</si>
  <si>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</si>
  <si>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</si>
  <si>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</si>
  <si>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</si>
  <si>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</si>
  <si>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</si>
  <si>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</si>
  <si>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</si>
  <si>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</si>
  <si>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</si>
  <si>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</si>
  <si>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</si>
  <si>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</si>
  <si>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</si>
  <si>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</si>
  <si>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</si>
  <si>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</si>
  <si>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</si>
  <si>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</si>
  <si>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</si>
  <si>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</si>
  <si>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</si>
  <si>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</si>
  <si>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</si>
  <si>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</si>
  <si>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</si>
  <si>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</si>
  <si>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</si>
  <si>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</si>
  <si>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</si>
  <si>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</si>
  <si>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</si>
  <si>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</si>
  <si>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</si>
  <si>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</si>
  <si>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</si>
  <si>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</si>
  <si>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</si>
  <si>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</si>
  <si>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</si>
  <si>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</si>
  <si>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</si>
  <si>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</si>
  <si>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</si>
  <si>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</si>
  <si>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</si>
  <si>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</si>
  <si>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</si>
  <si>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</si>
  <si>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</si>
  <si>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</si>
  <si>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</si>
  <si>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</si>
  <si>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</si>
  <si>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</si>
  <si>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</si>
  <si>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</si>
  <si>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</si>
  <si>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</si>
  <si>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</si>
  <si>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</si>
  <si>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</si>
  <si>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</si>
  <si>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</si>
  <si>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</si>
  <si>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</si>
  <si>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</si>
  <si>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</si>
  <si>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</si>
  <si>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</si>
  <si>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</si>
  <si>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</si>
  <si>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</si>
  <si>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</si>
  <si>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</si>
  <si>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</si>
  <si>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</si>
  <si>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</si>
  <si>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</si>
  <si>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</si>
  <si>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</si>
  <si>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</si>
  <si>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</si>
  <si>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</si>
  <si>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</si>
  <si>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</si>
  <si>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</si>
  <si>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</si>
  <si>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</si>
  <si>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</si>
  <si>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</si>
  <si>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</si>
  <si>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</si>
  <si>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</si>
  <si>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</si>
  <si>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</si>
  <si>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</si>
  <si>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</si>
  <si>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</si>
  <si>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</si>
  <si>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</si>
  <si>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</si>
  <si>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</si>
  <si>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</si>
  <si>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</si>
  <si>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</si>
  <si>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</si>
  <si>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</si>
  <si>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</si>
  <si>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</si>
  <si>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</si>
  <si>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</si>
  <si>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</si>
  <si>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</si>
  <si>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</si>
  <si>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</si>
  <si>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</si>
  <si>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</si>
  <si>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</si>
  <si>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</si>
  <si>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</si>
  <si>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</si>
  <si>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</si>
  <si>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</si>
  <si>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</si>
  <si>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</si>
  <si>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</si>
  <si>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</si>
  <si>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</si>
  <si>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</si>
  <si>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</si>
  <si>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</si>
  <si>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</si>
  <si>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</si>
  <si>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</si>
  <si>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</si>
  <si>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</si>
  <si>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</si>
  <si>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</si>
  <si>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</si>
  <si>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</si>
  <si>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</si>
  <si>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</si>
  <si>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</si>
  <si>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</si>
  <si>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</si>
  <si>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</si>
  <si>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</si>
  <si>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</si>
  <si>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</si>
  <si>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</si>
  <si>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</si>
  <si>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</si>
  <si>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</si>
  <si>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</si>
  <si>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</si>
  <si>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</si>
  <si>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</si>
  <si>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</si>
  <si>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</si>
  <si>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</si>
  <si>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</si>
  <si>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</si>
  <si>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</si>
  <si>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</si>
  <si>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</si>
  <si>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</si>
  <si>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</si>
  <si>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</si>
  <si>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</si>
  <si>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</si>
  <si>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</si>
  <si>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</si>
  <si>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</si>
  <si>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</si>
  <si>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</si>
  <si>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</si>
  <si>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</si>
  <si>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</si>
  <si>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</si>
  <si>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</si>
  <si>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</si>
  <si>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</si>
  <si>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</si>
  <si>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</si>
  <si>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</si>
  <si>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</si>
  <si>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</si>
  <si>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</si>
  <si>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</si>
  <si>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</si>
  <si>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</si>
  <si>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</si>
  <si>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</si>
  <si>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</si>
  <si>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</si>
  <si>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</si>
  <si>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</si>
  <si>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</si>
  <si>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</si>
  <si>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</si>
  <si>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</si>
  <si>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</si>
  <si>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</si>
  <si>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</si>
  <si>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</si>
  <si>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</si>
  <si>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</si>
  <si>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</si>
  <si>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</si>
  <si>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</si>
  <si>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</si>
  <si>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</si>
  <si>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</si>
  <si>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</si>
  <si>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</si>
  <si>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</si>
  <si>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</si>
  <si>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</si>
  <si>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</si>
  <si>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</si>
  <si>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</si>
  <si>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</si>
  <si>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</si>
  <si>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</si>
  <si>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</si>
  <si>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</si>
  <si>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</si>
  <si>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</si>
  <si>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</si>
  <si>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</si>
  <si>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</si>
  <si>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</si>
  <si>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</si>
  <si>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</si>
  <si>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</si>
  <si>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</si>
  <si>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</si>
  <si>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</si>
  <si>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</si>
  <si>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</si>
  <si>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</si>
  <si>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</si>
  <si>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</si>
  <si>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</si>
  <si>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</si>
  <si>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</si>
  <si>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</si>
  <si>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</si>
  <si>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</si>
  <si>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</si>
  <si>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</si>
  <si>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</si>
  <si>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</si>
  <si>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</si>
  <si>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</si>
  <si>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</si>
  <si>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</si>
  <si>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</si>
  <si>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</si>
  <si>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</si>
  <si>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</si>
  <si>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</si>
  <si>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</si>
  <si>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</si>
  <si>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</si>
  <si>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</si>
  <si>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</si>
  <si>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</si>
  <si>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</si>
  <si>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</si>
  <si>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</si>
  <si>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</si>
  <si>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</si>
  <si>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</si>
  <si>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</si>
  <si>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</si>
  <si>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</si>
  <si>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</si>
  <si>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</si>
  <si>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</si>
  <si>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</si>
  <si>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</si>
  <si>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</si>
  <si>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</si>
  <si>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</si>
  <si>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</si>
  <si>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</si>
  <si>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</si>
  <si>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</si>
  <si>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</si>
  <si>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</si>
  <si>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</si>
  <si>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</si>
  <si>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</si>
  <si>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</si>
  <si>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</si>
  <si>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</si>
  <si>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</si>
  <si>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</si>
  <si>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</si>
  <si>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</si>
  <si>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</si>
  <si>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</si>
  <si>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</si>
  <si>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</si>
  <si>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</si>
  <si>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</si>
  <si>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</si>
  <si>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</si>
  <si>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</si>
  <si>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</si>
  <si>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</si>
  <si>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</si>
  <si>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</si>
  <si>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</si>
  <si>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</si>
  <si>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</si>
  <si>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</si>
  <si>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</si>
  <si>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</si>
  <si>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</si>
  <si>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</si>
  <si>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</si>
  <si>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</si>
  <si>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</si>
  <si>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</si>
  <si>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</si>
  <si>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</si>
  <si>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</si>
  <si>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</si>
  <si>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</si>
  <si>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</si>
  <si>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</si>
  <si>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</si>
  <si>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</si>
  <si>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</si>
  <si>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</si>
  <si>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</si>
  <si>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</si>
  <si>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</si>
  <si>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</si>
  <si>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</si>
  <si>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</si>
  <si>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</si>
  <si>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</si>
  <si>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</si>
  <si>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</si>
  <si>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</si>
  <si>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</si>
  <si>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</si>
  <si>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</si>
  <si>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</si>
  <si>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</si>
  <si>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</si>
  <si>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</si>
  <si>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</si>
  <si>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</si>
  <si>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</si>
  <si>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</si>
  <si>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</si>
  <si>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</si>
  <si>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</si>
  <si>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</si>
  <si>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</si>
  <si>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</si>
  <si>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</si>
  <si>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</si>
  <si>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</si>
  <si>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</si>
  <si>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</si>
  <si>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</si>
  <si>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</si>
  <si>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</si>
  <si>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</si>
  <si>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</si>
  <si>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</si>
  <si>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</si>
  <si>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</si>
  <si>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</si>
  <si>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</si>
  <si>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</si>
  <si>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</si>
  <si>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</si>
  <si>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</si>
  <si>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</si>
  <si>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</si>
  <si>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</si>
  <si>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</si>
  <si>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</si>
  <si>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</si>
  <si>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</si>
  <si>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</si>
  <si>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</si>
  <si>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55109</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</si>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</sst>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182</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11742896</v>
      </c>
      <c r="Q5" s="112">
        <f>'Pt 2 Premium and Claims'!Q5+'Pt 2 Premium and Claims'!Q6-'Pt 2 Premium and Claims'!Q7-'Pt 2 Premium and Claims'!Q13+'Pt 2 Premium and Claims'!Q14</f>
        <v>12011813</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-427</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963904</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91510</v>
      </c>
      <c r="Q7" s="116">
        <f>P7</f>
        <v>91510</v>
      </c>
      <c r="R7" s="116"/>
      <c r="S7" s="116"/>
      <c r="T7" s="116"/>
      <c r="U7" s="115">
        <v>0</v>
      </c>
      <c r="V7" s="116">
        <f>U7</f>
        <v>0</v>
      </c>
      <c r="W7" s="116"/>
      <c r="X7" s="115">
        <v>0</v>
      </c>
      <c r="Y7" s="116">
        <f>X7</f>
        <v>0</v>
      </c>
      <c r="Z7" s="116"/>
      <c r="AA7" s="115">
        <v>-3</v>
      </c>
      <c r="AB7" s="116">
        <f>AA7</f>
        <v>-3</v>
      </c>
      <c r="AC7" s="116"/>
      <c r="AD7" s="115"/>
      <c r="AE7" s="297"/>
      <c r="AF7" s="297"/>
      <c r="AG7" s="297"/>
      <c r="AH7" s="297"/>
      <c r="AI7" s="115"/>
      <c r="AJ7" s="297"/>
      <c r="AK7" s="297"/>
      <c r="AL7" s="297"/>
      <c r="AM7" s="297"/>
      <c r="AN7" s="115"/>
      <c r="AO7" s="116"/>
      <c r="AP7" s="116"/>
      <c r="AQ7" s="116"/>
      <c r="AR7" s="116"/>
      <c r="AS7" s="115">
        <v>0</v>
      </c>
      <c r="AT7" s="119">
        <v>7511</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190215</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c r="G12" s="112"/>
      <c r="H12" s="112"/>
      <c r="I12" s="111">
        <f>'Pt 2 Premium and Claims'!I54</f>
        <v>0</v>
      </c>
      <c r="J12" s="111">
        <f>'Pt 2 Premium and Claims'!J54</f>
        <v>-13</v>
      </c>
      <c r="K12" s="112">
        <f>'Pt 2 Premium and Claims'!K54</f>
        <v>0</v>
      </c>
      <c r="L12" s="112"/>
      <c r="M12" s="112"/>
      <c r="N12" s="112"/>
      <c r="O12" s="111">
        <f>'Pt 2 Premium and Claims'!O54</f>
        <v>0</v>
      </c>
      <c r="P12" s="111">
        <f>'Pt 2 Premium and Claims'!P54</f>
        <v>12300822</v>
      </c>
      <c r="Q12" s="112">
        <f>'Pt 2 Premium and Claims'!Q54</f>
        <v>12567474</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7352</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-2626</v>
      </c>
      <c r="AT12" s="113">
        <f>'Pt 2 Premium and Claims'!AT54</f>
        <v>858616</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1338326</v>
      </c>
      <c r="Q13" s="116">
        <v>1305692</v>
      </c>
      <c r="R13" s="116"/>
      <c r="S13" s="295"/>
      <c r="T13" s="296"/>
      <c r="U13" s="115">
        <v>0</v>
      </c>
      <c r="V13" s="116">
        <v>0</v>
      </c>
      <c r="W13" s="116"/>
      <c r="X13" s="115">
        <v>0</v>
      </c>
      <c r="Y13" s="116">
        <v>0</v>
      </c>
      <c r="Z13" s="116"/>
      <c r="AA13" s="115">
        <v>-1448</v>
      </c>
      <c r="AB13" s="116">
        <v>0</v>
      </c>
      <c r="AC13" s="116"/>
      <c r="AD13" s="115"/>
      <c r="AE13" s="297"/>
      <c r="AF13" s="297"/>
      <c r="AG13" s="297"/>
      <c r="AH13" s="297"/>
      <c r="AI13" s="115"/>
      <c r="AJ13" s="297"/>
      <c r="AK13" s="297"/>
      <c r="AL13" s="297"/>
      <c r="AM13" s="297"/>
      <c r="AN13" s="115"/>
      <c r="AO13" s="116"/>
      <c r="AP13" s="116"/>
      <c r="AQ13" s="295"/>
      <c r="AR13" s="296"/>
      <c r="AS13" s="115">
        <v>12371</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200405</v>
      </c>
      <c r="Q14" s="116">
        <v>207692</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29794</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166171</v>
      </c>
      <c r="Q15" s="116">
        <v>146956</v>
      </c>
      <c r="R15" s="116"/>
      <c r="S15" s="294"/>
      <c r="T15" s="300"/>
      <c r="U15" s="115">
        <v>0</v>
      </c>
      <c r="V15" s="116">
        <v>0</v>
      </c>
      <c r="W15" s="116"/>
      <c r="X15" s="115">
        <v>0</v>
      </c>
      <c r="Y15" s="116">
        <v>0</v>
      </c>
      <c r="Z15" s="116"/>
      <c r="AA15" s="115">
        <v>271</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443114</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8808</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f>D25</f>
        <v>0</v>
      </c>
      <c r="F25" s="116"/>
      <c r="G25" s="116"/>
      <c r="H25" s="116"/>
      <c r="I25" s="115">
        <v>0</v>
      </c>
      <c r="J25" s="115">
        <v>-4</v>
      </c>
      <c r="K25" s="116">
        <f>J25</f>
        <v>-4</v>
      </c>
      <c r="L25" s="116"/>
      <c r="M25" s="116"/>
      <c r="N25" s="116"/>
      <c r="O25" s="115">
        <v>0</v>
      </c>
      <c r="P25" s="115">
        <v>426442</v>
      </c>
      <c r="Q25" s="116">
        <f>P25</f>
        <v>426442</v>
      </c>
      <c r="R25" s="116"/>
      <c r="S25" s="116"/>
      <c r="T25" s="116"/>
      <c r="U25" s="115">
        <v>0</v>
      </c>
      <c r="V25" s="116">
        <f>U25</f>
        <v>0</v>
      </c>
      <c r="W25" s="116"/>
      <c r="X25" s="115">
        <v>0</v>
      </c>
      <c r="Y25" s="116">
        <f>X25</f>
        <v>0</v>
      </c>
      <c r="Z25" s="116"/>
      <c r="AA25" s="115">
        <v>1520</v>
      </c>
      <c r="AB25" s="116">
        <f>AA25</f>
        <v>1520</v>
      </c>
      <c r="AC25" s="116"/>
      <c r="AD25" s="115"/>
      <c r="AE25" s="297"/>
      <c r="AF25" s="297"/>
      <c r="AG25" s="297"/>
      <c r="AH25" s="300"/>
      <c r="AI25" s="115"/>
      <c r="AJ25" s="297"/>
      <c r="AK25" s="297"/>
      <c r="AL25" s="297"/>
      <c r="AM25" s="300"/>
      <c r="AN25" s="115"/>
      <c r="AO25" s="116"/>
      <c r="AP25" s="116"/>
      <c r="AQ25" s="116"/>
      <c r="AR25" s="116"/>
      <c r="AS25" s="115">
        <v>-484</v>
      </c>
      <c r="AT25" s="119">
        <v>-18285</v>
      </c>
      <c r="AU25" s="119">
        <v>0</v>
      </c>
      <c r="AV25" s="119">
        <v>-694337</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9037</v>
      </c>
      <c r="Q26" s="116">
        <f>P26</f>
        <v>9037</v>
      </c>
      <c r="R26" s="116"/>
      <c r="S26" s="116"/>
      <c r="T26" s="116"/>
      <c r="U26" s="115">
        <v>0</v>
      </c>
      <c r="V26" s="116">
        <f>U26</f>
        <v>0</v>
      </c>
      <c r="W26" s="116"/>
      <c r="X26" s="115">
        <v>0</v>
      </c>
      <c r="Y26" s="116">
        <f>X26</f>
        <v>0</v>
      </c>
      <c r="Z26" s="116"/>
      <c r="AA26" s="115">
        <v>-2</v>
      </c>
      <c r="AB26" s="116">
        <f>AA26</f>
        <v>-2</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124494</v>
      </c>
      <c r="Q27" s="116">
        <f>P27</f>
        <v>124494</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8656</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10862</v>
      </c>
      <c r="Q28" s="116">
        <f>P28</f>
        <v>10862</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2747</v>
      </c>
      <c r="AU28" s="119">
        <v>0</v>
      </c>
      <c r="AV28" s="119">
        <v>15646</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36898</v>
      </c>
      <c r="Q30" s="116">
        <f>P30</f>
        <v>36898</v>
      </c>
      <c r="R30" s="116"/>
      <c r="S30" s="116"/>
      <c r="T30" s="116"/>
      <c r="U30" s="115">
        <v>0</v>
      </c>
      <c r="V30" s="116">
        <f>U30</f>
        <v>0</v>
      </c>
      <c r="W30" s="116"/>
      <c r="X30" s="115">
        <v>0</v>
      </c>
      <c r="Y30" s="116">
        <f>X30</f>
        <v>0</v>
      </c>
      <c r="Z30" s="116"/>
      <c r="AA30" s="115">
        <v>-1</v>
      </c>
      <c r="AB30" s="116">
        <f>AA30</f>
        <v>-1</v>
      </c>
      <c r="AC30" s="116"/>
      <c r="AD30" s="115"/>
      <c r="AE30" s="297"/>
      <c r="AF30" s="297"/>
      <c r="AG30" s="297"/>
      <c r="AH30" s="297"/>
      <c r="AI30" s="115"/>
      <c r="AJ30" s="297"/>
      <c r="AK30" s="297"/>
      <c r="AL30" s="297"/>
      <c r="AM30" s="297"/>
      <c r="AN30" s="115"/>
      <c r="AO30" s="116"/>
      <c r="AP30" s="116"/>
      <c r="AQ30" s="116"/>
      <c r="AR30" s="116"/>
      <c r="AS30" s="115">
        <v>0</v>
      </c>
      <c r="AT30" s="119">
        <v>3016</v>
      </c>
      <c r="AU30" s="119">
        <v>0</v>
      </c>
      <c r="AV30" s="119">
        <v>540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223215</v>
      </c>
      <c r="Q31" s="116">
        <f>P31</f>
        <v>223215</v>
      </c>
      <c r="R31" s="116"/>
      <c r="S31" s="116"/>
      <c r="T31" s="116"/>
      <c r="U31" s="115">
        <v>0</v>
      </c>
      <c r="V31" s="116">
        <f>U31</f>
        <v>0</v>
      </c>
      <c r="W31" s="116"/>
      <c r="X31" s="115">
        <v>0</v>
      </c>
      <c r="Y31" s="116">
        <f>X31</f>
        <v>0</v>
      </c>
      <c r="Z31" s="116"/>
      <c r="AA31" s="115">
        <v>-8</v>
      </c>
      <c r="AB31" s="116">
        <f>AA31</f>
        <v>-8</v>
      </c>
      <c r="AC31" s="116"/>
      <c r="AD31" s="115"/>
      <c r="AE31" s="297"/>
      <c r="AF31" s="297"/>
      <c r="AG31" s="297"/>
      <c r="AH31" s="297"/>
      <c r="AI31" s="115"/>
      <c r="AJ31" s="297"/>
      <c r="AK31" s="297"/>
      <c r="AL31" s="297"/>
      <c r="AM31" s="297"/>
      <c r="AN31" s="115"/>
      <c r="AO31" s="116"/>
      <c r="AP31" s="116"/>
      <c r="AQ31" s="116"/>
      <c r="AR31" s="116"/>
      <c r="AS31" s="115">
        <v>0</v>
      </c>
      <c r="AT31" s="119">
        <v>18322</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284586</v>
      </c>
      <c r="Q34" s="116">
        <f>P34</f>
        <v>284586</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-54</v>
      </c>
      <c r="Q35" s="116">
        <f>P35</f>
        <v>-54</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-12</v>
      </c>
      <c r="AU35" s="119">
        <v>0</v>
      </c>
      <c r="AV35" s="119">
        <v>1010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6061</v>
      </c>
      <c r="Q37" s="124">
        <v>5550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1</v>
      </c>
      <c r="AU37" s="125">
        <v>0</v>
      </c>
      <c r="AV37" s="125">
        <v>3638</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1536</v>
      </c>
      <c r="Q38" s="116">
        <v>1503</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1647</v>
      </c>
      <c r="AW38" s="324"/>
    </row>
    <row r="39" spans="1:49" x14ac:dyDescent="0.2">
      <c r="B39" s="164" t="s">
        <v>256</v>
      </c>
      <c r="C39" s="68" t="s">
        <v>17</v>
      </c>
      <c r="D39" s="115">
        <v>0</v>
      </c>
      <c r="E39" s="116">
        <v>0</v>
      </c>
      <c r="F39" s="116"/>
      <c r="G39" s="116"/>
      <c r="H39" s="116"/>
      <c r="I39" s="115">
        <v>0</v>
      </c>
      <c r="J39" s="115">
        <v>-6</v>
      </c>
      <c r="K39" s="116">
        <v>0</v>
      </c>
      <c r="L39" s="116"/>
      <c r="M39" s="116"/>
      <c r="N39" s="116"/>
      <c r="O39" s="115">
        <v>0</v>
      </c>
      <c r="P39" s="115">
        <v>12920</v>
      </c>
      <c r="Q39" s="116">
        <v>11832</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v>
      </c>
      <c r="AU39" s="119">
        <v>0</v>
      </c>
      <c r="AV39" s="119">
        <v>350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2869</v>
      </c>
      <c r="Q40" s="116">
        <v>2824</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530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2600</v>
      </c>
      <c r="Q41" s="116">
        <v>2588</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16</v>
      </c>
      <c r="AU41" s="119">
        <v>0</v>
      </c>
      <c r="AV41" s="119">
        <v>8379</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307</v>
      </c>
      <c r="Q42" s="116">
        <f>P42</f>
        <v>307</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1532</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-5</v>
      </c>
      <c r="K44" s="124">
        <v>0</v>
      </c>
      <c r="L44" s="124"/>
      <c r="M44" s="124"/>
      <c r="N44" s="124"/>
      <c r="O44" s="123">
        <v>0</v>
      </c>
      <c r="P44" s="123">
        <v>281060</v>
      </c>
      <c r="Q44" s="124">
        <v>261596</v>
      </c>
      <c r="R44" s="124"/>
      <c r="S44" s="124"/>
      <c r="T44" s="124"/>
      <c r="U44" s="123">
        <v>0</v>
      </c>
      <c r="V44" s="124">
        <v>0</v>
      </c>
      <c r="W44" s="124"/>
      <c r="X44" s="123">
        <v>0</v>
      </c>
      <c r="Y44" s="124">
        <v>0</v>
      </c>
      <c r="Z44" s="124"/>
      <c r="AA44" s="123">
        <v>-1220</v>
      </c>
      <c r="AB44" s="124">
        <v>0</v>
      </c>
      <c r="AC44" s="124"/>
      <c r="AD44" s="123"/>
      <c r="AE44" s="301"/>
      <c r="AF44" s="301"/>
      <c r="AG44" s="301"/>
      <c r="AH44" s="302"/>
      <c r="AI44" s="123"/>
      <c r="AJ44" s="301"/>
      <c r="AK44" s="301"/>
      <c r="AL44" s="301"/>
      <c r="AM44" s="302"/>
      <c r="AN44" s="123"/>
      <c r="AO44" s="124"/>
      <c r="AP44" s="124"/>
      <c r="AQ44" s="124"/>
      <c r="AR44" s="124"/>
      <c r="AS44" s="123">
        <v>0</v>
      </c>
      <c r="AT44" s="125">
        <v>2</v>
      </c>
      <c r="AU44" s="125">
        <v>0</v>
      </c>
      <c r="AV44" s="125">
        <v>42200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-9819</v>
      </c>
      <c r="Q45" s="116">
        <f>P45</f>
        <v>-9819</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-433</v>
      </c>
      <c r="AU45" s="119">
        <v>0</v>
      </c>
      <c r="AV45" s="119">
        <v>-1394</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9164</v>
      </c>
      <c r="Q46" s="116">
        <f>P46</f>
        <v>9164</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600</v>
      </c>
      <c r="AU46" s="119">
        <v>0</v>
      </c>
      <c r="AV46" s="119">
        <v>25733</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180402</v>
      </c>
      <c r="Q47" s="116">
        <f>P47</f>
        <v>180402</v>
      </c>
      <c r="R47" s="116"/>
      <c r="S47" s="116"/>
      <c r="T47" s="116"/>
      <c r="U47" s="115">
        <v>0</v>
      </c>
      <c r="V47" s="116">
        <f>U47</f>
        <v>0</v>
      </c>
      <c r="W47" s="116"/>
      <c r="X47" s="115">
        <v>0</v>
      </c>
      <c r="Y47" s="116">
        <f>X47</f>
        <v>0</v>
      </c>
      <c r="Z47" s="116"/>
      <c r="AA47" s="115">
        <v>1697</v>
      </c>
      <c r="AB47" s="116">
        <f>AA47</f>
        <v>1697</v>
      </c>
      <c r="AC47" s="116"/>
      <c r="AD47" s="115"/>
      <c r="AE47" s="297"/>
      <c r="AF47" s="297"/>
      <c r="AG47" s="297"/>
      <c r="AH47" s="297"/>
      <c r="AI47" s="115"/>
      <c r="AJ47" s="297"/>
      <c r="AK47" s="297"/>
      <c r="AL47" s="297"/>
      <c r="AM47" s="297"/>
      <c r="AN47" s="115"/>
      <c r="AO47" s="116"/>
      <c r="AP47" s="116"/>
      <c r="AQ47" s="116"/>
      <c r="AR47" s="116"/>
      <c r="AS47" s="115">
        <v>0</v>
      </c>
      <c r="AT47" s="119">
        <v>14808</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-143</v>
      </c>
      <c r="Q49" s="116">
        <f>P49</f>
        <v>-143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-37</v>
      </c>
      <c r="AU49" s="119">
        <v>0</v>
      </c>
      <c r="AV49" s="119">
        <v>-4345</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135</v>
      </c>
      <c r="Q50" s="116">
        <f>P50</f>
        <v>135</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51</v>
      </c>
      <c r="AU50" s="119">
        <v>0</v>
      </c>
      <c r="AV50" s="119">
        <v>-2286</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353506</v>
      </c>
      <c r="Q51" s="116">
        <f>P51</f>
        <v>353506</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155866</v>
      </c>
      <c r="AU51" s="119">
        <v>0</v>
      </c>
      <c r="AV51" s="119">
        <v>724500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687</v>
      </c>
      <c r="Q53" s="116">
        <f>P53</f>
        <v>687</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403</v>
      </c>
      <c r="AU53" s="119">
        <v>0</v>
      </c>
      <c r="AV53" s="119">
        <v>1796</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4586436</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1026</v>
      </c>
      <c r="Q56" s="128">
        <f>P56</f>
        <v>1026</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1569</v>
      </c>
      <c r="AU56" s="129">
        <v>0</v>
      </c>
      <c r="AV56" s="129">
        <v>1067</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2160</v>
      </c>
      <c r="Q57" s="131">
        <f>P57</f>
        <v>2160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2688</v>
      </c>
      <c r="AU57" s="132">
        <v>0</v>
      </c>
      <c r="AV57" s="132">
        <v>1777</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2</v>
      </c>
      <c r="Q58" s="131">
        <f>P58</f>
        <v>2</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v>
      </c>
      <c r="AU58" s="132">
        <v>0</v>
      </c>
      <c r="AV58" s="132">
        <v>1</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32123</v>
      </c>
      <c r="Q59" s="131">
        <v>32123</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34011</v>
      </c>
      <c r="AU59" s="132">
        <v>0</v>
      </c>
      <c r="AV59" s="132">
        <v>22289</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2676.9166666666665</v>
      </c>
      <c r="Q60" s="134">
        <f>Q59/12</f>
        <v>2676.9166666666665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2834.25</v>
      </c>
      <c r="AU60" s="135">
        <f>AU59/12</f>
        <v>0</v>
      </c>
      <c r="AV60" s="135">
        <f>AV59/12</f>
        <v>1857.4166666666667</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5807858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949989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0</v>
      </c>
      <c r="K5" s="124">
        <v>0</v>
      </c>
      <c r="L5" s="124"/>
      <c r="M5" s="124"/>
      <c r="N5" s="124"/>
      <c r="O5" s="123">
        <v>0</v>
      </c>
      <c r="P5" s="123">
        <v>12057626</v>
      </c>
      <c r="Q5" s="124">
        <v>12009857</v>
      </c>
      <c r="R5" s="124"/>
      <c r="S5" s="124"/>
      <c r="T5" s="124"/>
      <c r="U5" s="123">
        <v>0</v>
      </c>
      <c r="V5" s="124">
        <v>0</v>
      </c>
      <c r="W5" s="124"/>
      <c r="X5" s="123">
        <v>0</v>
      </c>
      <c r="Y5" s="124">
        <v>0</v>
      </c>
      <c r="Z5" s="124"/>
      <c r="AA5" s="123">
        <v>-427</v>
      </c>
      <c r="AB5" s="124">
        <v>0</v>
      </c>
      <c r="AC5" s="124"/>
      <c r="AD5" s="123"/>
      <c r="AE5" s="301"/>
      <c r="AF5" s="301"/>
      <c r="AG5" s="301"/>
      <c r="AH5" s="301"/>
      <c r="AI5" s="123"/>
      <c r="AJ5" s="301"/>
      <c r="AK5" s="301"/>
      <c r="AL5" s="301"/>
      <c r="AM5" s="301"/>
      <c r="AN5" s="123"/>
      <c r="AO5" s="124"/>
      <c r="AP5" s="124"/>
      <c r="AQ5" s="124"/>
      <c r="AR5" s="124"/>
      <c r="AS5" s="123">
        <v>0</v>
      </c>
      <c r="AT5" s="125">
        <v>1028106</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1956</v>
      </c>
      <c r="Q6" s="116">
        <v>1956</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-1</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316686</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64201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582209</v>
      </c>
      <c r="Q11" s="116">
        <f>Q42</f>
        <v>-1069488</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1651697</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-13</v>
      </c>
      <c r="K23" s="294"/>
      <c r="L23" s="294"/>
      <c r="M23" s="294"/>
      <c r="N23" s="294"/>
      <c r="O23" s="298"/>
      <c r="P23" s="115">
        <v>13101590</v>
      </c>
      <c r="Q23" s="294"/>
      <c r="R23" s="294"/>
      <c r="S23" s="294"/>
      <c r="T23" s="294"/>
      <c r="U23" s="115">
        <v>0</v>
      </c>
      <c r="V23" s="294"/>
      <c r="W23" s="294"/>
      <c r="X23" s="115">
        <v>0</v>
      </c>
      <c r="Y23" s="294"/>
      <c r="Z23" s="294"/>
      <c r="AA23" s="115">
        <v>23006</v>
      </c>
      <c r="AB23" s="294"/>
      <c r="AC23" s="294"/>
      <c r="AD23" s="115"/>
      <c r="AE23" s="294"/>
      <c r="AF23" s="294"/>
      <c r="AG23" s="294"/>
      <c r="AH23" s="294"/>
      <c r="AI23" s="115"/>
      <c r="AJ23" s="294"/>
      <c r="AK23" s="294"/>
      <c r="AL23" s="294"/>
      <c r="AM23" s="294"/>
      <c r="AN23" s="115"/>
      <c r="AO23" s="294"/>
      <c r="AP23" s="294"/>
      <c r="AQ23" s="294"/>
      <c r="AR23" s="294"/>
      <c r="AS23" s="115">
        <v>-120034</v>
      </c>
      <c r="AT23" s="119">
        <v>797626</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12063796</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2713203</v>
      </c>
      <c r="Q26" s="294"/>
      <c r="R26" s="294"/>
      <c r="S26" s="294"/>
      <c r="T26" s="294"/>
      <c r="U26" s="115">
        <v>0</v>
      </c>
      <c r="V26" s="294"/>
      <c r="W26" s="294"/>
      <c r="X26" s="115">
        <v>0</v>
      </c>
      <c r="Y26" s="294"/>
      <c r="Z26" s="294"/>
      <c r="AA26" s="115">
        <v>216</v>
      </c>
      <c r="AB26" s="294"/>
      <c r="AC26" s="294"/>
      <c r="AD26" s="115"/>
      <c r="AE26" s="294"/>
      <c r="AF26" s="294"/>
      <c r="AG26" s="294"/>
      <c r="AH26" s="294"/>
      <c r="AI26" s="115"/>
      <c r="AJ26" s="294"/>
      <c r="AK26" s="294"/>
      <c r="AL26" s="294"/>
      <c r="AM26" s="294"/>
      <c r="AN26" s="115"/>
      <c r="AO26" s="294"/>
      <c r="AP26" s="294"/>
      <c r="AQ26" s="294"/>
      <c r="AR26" s="294"/>
      <c r="AS26" s="115">
        <v>0</v>
      </c>
      <c r="AT26" s="119">
        <v>64527</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1574947</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2493211</v>
      </c>
      <c r="Q28" s="295"/>
      <c r="R28" s="295"/>
      <c r="S28" s="295"/>
      <c r="T28" s="295"/>
      <c r="U28" s="115">
        <v>0</v>
      </c>
      <c r="V28" s="295"/>
      <c r="W28" s="295"/>
      <c r="X28" s="115">
        <v>0</v>
      </c>
      <c r="Y28" s="295"/>
      <c r="Z28" s="295"/>
      <c r="AA28" s="115">
        <v>15870</v>
      </c>
      <c r="AB28" s="295"/>
      <c r="AC28" s="295"/>
      <c r="AD28" s="115"/>
      <c r="AE28" s="294"/>
      <c r="AF28" s="294"/>
      <c r="AG28" s="294"/>
      <c r="AH28" s="294"/>
      <c r="AI28" s="115"/>
      <c r="AJ28" s="294"/>
      <c r="AK28" s="294"/>
      <c r="AL28" s="294"/>
      <c r="AM28" s="294"/>
      <c r="AN28" s="115"/>
      <c r="AO28" s="295"/>
      <c r="AP28" s="295"/>
      <c r="AQ28" s="295"/>
      <c r="AR28" s="295"/>
      <c r="AS28" s="115">
        <v>14997</v>
      </c>
      <c r="AT28" s="119">
        <v>1757</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858</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178940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-58</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180720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6759</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6759</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0</v>
      </c>
      <c r="K36" s="116">
        <f>J36</f>
        <v>0</v>
      </c>
      <c r="L36" s="116"/>
      <c r="M36" s="116"/>
      <c r="N36" s="116"/>
      <c r="O36" s="115">
        <v>0</v>
      </c>
      <c r="P36" s="115">
        <v>16227</v>
      </c>
      <c r="Q36" s="116">
        <f>P36</f>
        <v>16227</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582209</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-1069488</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1651697</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22267</v>
      </c>
      <c r="Q45" s="116">
        <v>19376</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107134</v>
      </c>
      <c r="Q49" s="116">
        <v>11689</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142147</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132405</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0</v>
      </c>
      <c r="E54" s="121">
        <f>E24+E27+E31+E35-E36+E39+E42+E45+E46-E49+E51+E52+E53</f>
        <v>0</v>
      </c>
      <c r="F54" s="121"/>
      <c r="G54" s="121"/>
      <c r="H54" s="121"/>
      <c r="I54" s="120">
        <f>I24+I27+I31+I35-I36+I39+I42+I45+I46-I49+I51+I52+I53</f>
        <v>0</v>
      </c>
      <c r="J54" s="120">
        <f>J23+J26-J28+J30-J32+J34-J36+J38+J41-J43+J45+J46-J47-J49+J50+J51+J52+J53</f>
        <v>-13</v>
      </c>
      <c r="K54" s="121">
        <f>K24+K27+K31+K35-K36+K39+K42+K45+K46-K49+K51+K52+K53</f>
        <v>0</v>
      </c>
      <c r="L54" s="121"/>
      <c r="M54" s="121"/>
      <c r="N54" s="121"/>
      <c r="O54" s="120">
        <f>O24+O27+O31+O35-O36+O39+O42+O45+O46-O49+O51+O52+O53</f>
        <v>0</v>
      </c>
      <c r="P54" s="120">
        <f>P23+P26-P28+P30-P32+P34-P36+P38+P41-P43+P45+P46-P47-P49+P50+P51+P52+P53</f>
        <v>12300822</v>
      </c>
      <c r="Q54" s="121">
        <f>Q24+Q27+Q31+Q35-Q36+Q39+Q42+Q45+Q46-Q49+Q51+Q52+Q53</f>
        <v>12567474</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7352</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-2626</v>
      </c>
      <c r="AT54" s="122">
        <f>AT23+AT26-AT28+AT30-AT32+AT34-AT36+AT38+AT41-AT43+AT45+AT46-AT47-AT49+AT50+AT51+AT52+AT53</f>
        <v>858616</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0</v>
      </c>
      <c r="I5" s="124">
        <v>20</v>
      </c>
      <c r="J5" s="352"/>
      <c r="K5" s="352"/>
      <c r="L5" s="318"/>
      <c r="M5" s="123">
        <v>23630742.559999999</v>
      </c>
      <c r="N5" s="124">
        <v>24958908</v>
      </c>
      <c r="O5" s="352"/>
      <c r="P5" s="352"/>
      <c r="Q5" s="123">
        <v>0</v>
      </c>
      <c r="R5" s="124">
        <v>0</v>
      </c>
      <c r="S5" s="352"/>
      <c r="T5" s="352"/>
      <c r="U5" s="123">
        <v>0</v>
      </c>
      <c r="V5" s="124">
        <v>0</v>
      </c>
      <c r="W5" s="352"/>
      <c r="X5" s="352"/>
      <c r="Y5" s="123">
        <v>160587.67000000001</v>
      </c>
      <c r="Z5" s="124">
        <v>207580</v>
      </c>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f>SUM('Pt 1 Summary of Data'!E$12,'Pt 1 Summary of Data'!E$22)+SUM('Pt 1 Summary of Data'!G$12,'Pt 1 Summary of Data'!G$22)-SUM('Pt 1 Summary of Data'!H$12,'Pt 1 Summary of Data'!H$22)</f>
        <v>0</v>
      </c>
      <c r="F6" s="121">
        <f>SUM(C6:E6)</f>
        <v>0</v>
      </c>
      <c r="G6" s="122">
        <f>'Pt 1 Summary of Data'!I12+'Pt 1 Summary of Data'!I22</f>
        <v>0</v>
      </c>
      <c r="H6" s="115">
        <v>0</v>
      </c>
      <c r="I6" s="116">
        <v>8</v>
      </c>
      <c r="J6" s="121">
        <f>'Pt 1 Summary of Data'!K12+'Pt 1 Summary of Data'!K22</f>
        <v>0</v>
      </c>
      <c r="K6" s="121">
        <f>SUM(H6:J6)</f>
        <v>8</v>
      </c>
      <c r="L6" s="122">
        <f>'Pt 1 Summary of Data'!O12+'Pt 1 Summary of Data'!O22</f>
        <v>0</v>
      </c>
      <c r="M6" s="115">
        <v>23977604</v>
      </c>
      <c r="N6" s="116">
        <v>24792437</v>
      </c>
      <c r="O6" s="121">
        <f>'Pt 1 Summary of Data'!Q12+'Pt 1 Summary of Data'!Q22</f>
        <v>12567474</v>
      </c>
      <c r="P6" s="121">
        <f>SUM(M6:O6)</f>
        <v>61337515</v>
      </c>
      <c r="Q6" s="115">
        <v>0</v>
      </c>
      <c r="R6" s="116">
        <v>0</v>
      </c>
      <c r="S6" s="121">
        <f>'Pt 1 Summary of Data'!V12+'Pt 1 Summary of Data'!V22</f>
        <v>0</v>
      </c>
      <c r="T6" s="121">
        <f>SUM(Q6:S6)</f>
        <v>0</v>
      </c>
      <c r="U6" s="115">
        <v>0</v>
      </c>
      <c r="V6" s="116">
        <v>0</v>
      </c>
      <c r="W6" s="121">
        <f>'Pt 1 Summary of Data'!Y12+'Pt 1 Summary of Data'!Y22</f>
        <v>0</v>
      </c>
      <c r="X6" s="121">
        <f>SUM(U6:W6)</f>
        <v>0</v>
      </c>
      <c r="Y6" s="115">
        <v>232783</v>
      </c>
      <c r="Z6" s="116">
        <v>204423</v>
      </c>
      <c r="AA6" s="121">
        <f>'Pt 1 Summary of Data'!AB12+'Pt 1 Summary of Data'!AB22</f>
        <v>0</v>
      </c>
      <c r="AB6" s="121">
        <f>SUM(Y6:AA6)</f>
        <v>437206</v>
      </c>
      <c r="AC6" s="298"/>
      <c r="AD6" s="294"/>
      <c r="AE6" s="294"/>
      <c r="AF6" s="294"/>
      <c r="AG6" s="298"/>
      <c r="AH6" s="294"/>
      <c r="AI6" s="294"/>
      <c r="AJ6" s="294"/>
      <c r="AK6" s="298"/>
      <c r="AL6" s="116"/>
      <c r="AM6" s="121"/>
      <c r="AN6" s="259"/>
    </row>
    <row r="7" spans="1:40" x14ac:dyDescent="0.2">
      <c r="B7" s="197" t="s">
        <v>312</v>
      </c>
      <c r="C7" s="115">
        <v>0</v>
      </c>
      <c r="D7" s="116">
        <v>0</v>
      </c>
      <c r="E7" s="121">
        <f>SUM('Pt 1 Summary of Data'!E37:E41)+MAX(0,MIN('Pt 1 Summary of Data'!E42,0.3%*('Pt 1 Summary of Data'!E5-SUM(E9:E11))))</f>
        <v>0</v>
      </c>
      <c r="F7" s="121">
        <f>SUM(C7:E7)</f>
        <v>0</v>
      </c>
      <c r="G7" s="122">
        <f>SUM('Pt 1 Summary of Data'!I37:I41)+MAX(0,MIN('Pt 1 Summary of Data'!I42,0.3%*('Pt 1 Summary of Data'!I5-SUM(G9:G10))))</f>
        <v>0</v>
      </c>
      <c r="H7" s="115">
        <v>0</v>
      </c>
      <c r="I7" s="116">
        <v>8</v>
      </c>
      <c r="J7" s="121">
        <f>SUM('Pt 1 Summary of Data'!K37:K41)+MAX(0,MIN('Pt 1 Summary of Data'!K42,0.3%*('Pt 1 Summary of Data'!K5-SUM(J10:J11))))</f>
        <v>0</v>
      </c>
      <c r="K7" s="121">
        <f>SUM(H7:J7)</f>
        <v>8</v>
      </c>
      <c r="L7" s="122">
        <f>SUM('Pt 1 Summary of Data'!O37:O41)+MAX(0,MIN('Pt 1 Summary of Data'!O42,0.3%*('Pt 1 Summary of Data'!O5-L10)))</f>
        <v>0</v>
      </c>
      <c r="M7" s="115">
        <v>172305</v>
      </c>
      <c r="N7" s="116">
        <v>114665</v>
      </c>
      <c r="O7" s="121">
        <f>SUM('Pt 1 Summary of Data'!Q37:Q41)+MAX(0,MIN('Pt 1 Summary of Data'!Q42,0.3%*('Pt 1 Summary of Data'!Q5)))</f>
        <v>24604</v>
      </c>
      <c r="P7" s="121">
        <f>SUM(M7:O7)</f>
        <v>311574</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16</v>
      </c>
      <c r="J12" s="121">
        <f>SUM(J$6:J$7)-SUM(J$10:J$11)+IF(AND(OR('Company Information'!$C$12="District of Columbia",'Company Information'!$C$12="Massachusetts",'Company Information'!$C$12="Vermont"),SUM($H$6:$K$11,$H$15:$K$16,$H$37:$I$37)&lt;&gt;0),SUM(E$6:E$7)-SUM(E$8:E$11),0)</f>
        <v>0</v>
      </c>
      <c r="K12" s="121">
        <f>IFERROR(SUM(H$12:J$12)+H$17*MAX(0,J$49-H$49)+I$17*MAX(0,J$49-I$49),0)</f>
        <v>16</v>
      </c>
      <c r="L12" s="317"/>
      <c r="M12" s="120">
        <f>SUM(M$6:M$7)</f>
        <v>24149909</v>
      </c>
      <c r="N12" s="121">
        <f>SUM(N$6:N$7)</f>
        <v>24907102</v>
      </c>
      <c r="O12" s="121">
        <f>SUM(O$6:O$7)</f>
        <v>12592078</v>
      </c>
      <c r="P12" s="121">
        <f>SUM(M$12:O$12)+M$17*MAX(0,O$49-M$49)+N$17*MAX(0,O$49-N$49)</f>
        <v>61649089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407370.25</v>
      </c>
      <c r="Z13" s="121">
        <f>1.5*SUM(Z$6:Z$7)</f>
        <v>306634.5</v>
      </c>
      <c r="AA13" s="121">
        <f>1.25*SUM(AA$6:AA$7)</f>
        <v>0</v>
      </c>
      <c r="AB13" s="121">
        <f>1.25*(SUM(AB$6:AB$7)+Y$17*MAX(0,AA$49-Y$49)+Z$17*MAX(0,AA$49-Z$49))</f>
        <v>546507.5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f>SUM('Pt 1 Summary of Data'!E$5:E$7)+SUM('Pt 1 Summary of Data'!G$5:G$7)-SUM('Pt 1 Summary of Data'!H$5:H$7)-SUM(E$9:E$11)+D$55</f>
        <v>0</v>
      </c>
      <c r="F15" s="112">
        <f>SUM(C15:E15)</f>
        <v>0</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30062612</v>
      </c>
      <c r="N15" s="124">
        <v>29840360</v>
      </c>
      <c r="O15" s="112">
        <f>SUM('Pt 1 Summary of Data'!Q5:Q7)+N55</f>
        <v>12164906</v>
      </c>
      <c r="P15" s="112">
        <f>SUM(M15:O15)</f>
        <v>72067878</v>
      </c>
      <c r="Q15" s="123">
        <v>0</v>
      </c>
      <c r="R15" s="124">
        <v>0</v>
      </c>
      <c r="S15" s="112">
        <f>SUM('Pt 1 Summary of Data'!V5:V7)+R55</f>
        <v>0</v>
      </c>
      <c r="T15" s="112">
        <f>SUM(Q15:S15)</f>
        <v>0</v>
      </c>
      <c r="U15" s="123">
        <v>0</v>
      </c>
      <c r="V15" s="124">
        <v>0</v>
      </c>
      <c r="W15" s="112">
        <f>SUM('Pt 1 Summary of Data'!Y5:Y7)+V55</f>
        <v>0</v>
      </c>
      <c r="X15" s="112">
        <f>SUM(U15:W15)</f>
        <v>0</v>
      </c>
      <c r="Y15" s="123">
        <v>459207</v>
      </c>
      <c r="Z15" s="124">
        <v>408572</v>
      </c>
      <c r="AA15" s="112">
        <f>SUM('Pt 1 Summary of Data'!AB5:AB7)+Z55</f>
        <v>-3</v>
      </c>
      <c r="AB15" s="112">
        <f>SUM(Y15:AA15)</f>
        <v>867776</v>
      </c>
      <c r="AC15" s="353"/>
      <c r="AD15" s="352"/>
      <c r="AE15" s="352"/>
      <c r="AF15" s="352"/>
      <c r="AG15" s="353"/>
      <c r="AH15" s="352"/>
      <c r="AI15" s="352"/>
      <c r="AJ15" s="352"/>
      <c r="AK15" s="353"/>
      <c r="AL15" s="124"/>
      <c r="AM15" s="112"/>
      <c r="AN15" s="260"/>
    </row>
    <row r="16" spans="1:40" x14ac:dyDescent="0.2">
      <c r="B16" s="197" t="s">
        <v>313</v>
      </c>
      <c r="C16" s="115">
        <v>0</v>
      </c>
      <c r="D16" s="116">
        <v>0</v>
      </c>
      <c r="E16" s="121">
        <f>'Pt 1 Summary of Data'!E25+'Pt 1 Summary of Data'!E26+'Pt 1 Summary of Data'!E27+'Pt 1 Summary of Data'!E28+'Pt 1 Summary of Data'!E30+'Pt 1 Summary of Data'!E31+'Pt 1 Summary of Data'!E34+'Pt 1 Summary of Data'!E35+'Pt 3 MLR and Rebate Calculation'!D56</f>
        <v>0</v>
      </c>
      <c r="F16" s="121">
        <f>SUM(C16:E16)</f>
        <v>0</v>
      </c>
      <c r="G16" s="122">
        <f>'Pt 1 Summary of Data'!I25+'Pt 1 Summary of Data'!I26+'Pt 1 Summary of Data'!I27+'Pt 1 Summary of Data'!I28+'Pt 1 Summary of Data'!I30+'Pt 1 Summary of Data'!I31+'Pt 1 Summary of Data'!I34+'Pt 1 Summary of Data'!I35</f>
        <v>0</v>
      </c>
      <c r="H16" s="115">
        <v>0</v>
      </c>
      <c r="I16" s="116">
        <v>-15</v>
      </c>
      <c r="J16" s="121">
        <f>'Pt 1 Summary of Data'!K25+'Pt 1 Summary of Data'!K26+'Pt 1 Summary of Data'!K27+'Pt 1 Summary of Data'!K28+'Pt 1 Summary of Data'!K30+'Pt 1 Summary of Data'!K31+'Pt 1 Summary of Data'!K34+'Pt 1 Summary of Data'!K35+'Pt 3 MLR and Rebate Calculation'!I56</f>
        <v>-4</v>
      </c>
      <c r="K16" s="121">
        <f>SUM(H16:J16)</f>
        <v>-19</v>
      </c>
      <c r="L16" s="122">
        <f>'Pt 1 Summary of Data'!O25+'Pt 1 Summary of Data'!O26+'Pt 1 Summary of Data'!O27+'Pt 1 Summary of Data'!O28+'Pt 1 Summary of Data'!O30+'Pt 1 Summary of Data'!O31+'Pt 1 Summary of Data'!O34+'Pt 1 Summary of Data'!O35</f>
        <v>0</v>
      </c>
      <c r="M16" s="115">
        <v>1556122</v>
      </c>
      <c r="N16" s="116">
        <v>1288951</v>
      </c>
      <c r="O16" s="121">
        <f>'Pt 1 Summary of Data'!Q25+'Pt 1 Summary of Data'!Q26+'Pt 1 Summary of Data'!Q27+'Pt 1 Summary of Data'!Q28+'Pt 1 Summary of Data'!Q30+'Pt 1 Summary of Data'!Q31+'Pt 1 Summary of Data'!Q34+'Pt 1 Summary of Data'!Q35+'Pt 3 MLR and Rebate Calculation'!N56</f>
        <v>1141041</v>
      </c>
      <c r="P16" s="121">
        <f>SUM(M16:O16)</f>
        <v>3986114</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53474</v>
      </c>
      <c r="Z16" s="116">
        <v>64469</v>
      </c>
      <c r="AA16" s="121">
        <f>'Pt 1 Summary of Data'!AB25+'Pt 1 Summary of Data'!AB26+'Pt 1 Summary of Data'!AB27+'Pt 1 Summary of Data'!AB28+'Pt 1 Summary of Data'!AB30+'Pt 1 Summary of Data'!AB31+'Pt 1 Summary of Data'!AB34+'Pt 1 Summary of Data'!AB35+'Pt 3 MLR and Rebate Calculation'!Z56</f>
        <v>1509</v>
      </c>
      <c r="AB16" s="121">
        <f>SUM(Y16:AA16)</f>
        <v>119452</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15</v>
      </c>
      <c r="J17" s="121">
        <f>J$15-J$16+IF(AND(OR('Company Information'!$C$12="District of Columbia",'Company Information'!$C$12="Massachusetts",'Company Information'!$C$12="Vermont"),SUM($H$6:$K$11,$H$15:$K$16,$H$37:$I$37)&lt;&gt;0),E$15-E$16,0)</f>
        <v>4</v>
      </c>
      <c r="K17" s="121">
        <f>K$15-K$16+IF(AND(OR('Company Information'!$C$12="District of Columbia",'Company Information'!$C$12="Massachusetts",'Company Information'!$C$12="Vermont"),SUM($H$6:$K$11,$H$15:$K$16,$H$37:$I$37)&lt;&gt;0),F$15-F$16,0)</f>
        <v>19</v>
      </c>
      <c r="L17" s="320"/>
      <c r="M17" s="120">
        <f>M$15-M$16</f>
        <v>28506490</v>
      </c>
      <c r="N17" s="121">
        <f>N$15-N$16</f>
        <v>28551409</v>
      </c>
      <c r="O17" s="121">
        <f>O$15-O$16</f>
        <v>11023865</v>
      </c>
      <c r="P17" s="121">
        <f>P$15-P$16</f>
        <v>68081764</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405733</v>
      </c>
      <c r="Z17" s="121">
        <f>Z$15-Z$16</f>
        <v>344103</v>
      </c>
      <c r="AA17" s="121">
        <f>AA$15-AA$16</f>
        <v>-1512</v>
      </c>
      <c r="AB17" s="121">
        <f>AB$15-AB$16</f>
        <v>748324</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0</v>
      </c>
      <c r="I37" s="128">
        <v>0</v>
      </c>
      <c r="J37" s="262">
        <f>'Pt 1 Summary of Data'!K60</f>
        <v>0</v>
      </c>
      <c r="K37" s="262">
        <f>SUM(H37:J37)</f>
        <v>0</v>
      </c>
      <c r="L37" s="318"/>
      <c r="M37" s="127">
        <v>4836</v>
      </c>
      <c r="N37" s="128">
        <v>4747</v>
      </c>
      <c r="O37" s="262">
        <f>'Pt 1 Summary of Data'!Q60</f>
        <v>2676.9166666666665</v>
      </c>
      <c r="P37" s="262">
        <f>SUM(M37:O37)</f>
        <v>12259.916666666666</v>
      </c>
      <c r="Q37" s="127">
        <v>0</v>
      </c>
      <c r="R37" s="128">
        <v>0</v>
      </c>
      <c r="S37" s="262">
        <f>'Pt 1 Summary of Data'!V60</f>
        <v>0</v>
      </c>
      <c r="T37" s="262">
        <f>SUM(Q37:S37)</f>
        <v>0</v>
      </c>
      <c r="U37" s="127">
        <v>0</v>
      </c>
      <c r="V37" s="128">
        <v>0</v>
      </c>
      <c r="W37" s="262">
        <f>'Pt 1 Summary of Data'!Y60</f>
        <v>0</v>
      </c>
      <c r="X37" s="262">
        <f>SUM(U37:W37)</f>
        <v>0</v>
      </c>
      <c r="Y37" s="127">
        <v>351</v>
      </c>
      <c r="Z37" s="128">
        <v>306</v>
      </c>
      <c r="AA37" s="262">
        <f>'Pt 1 Summary of Data'!AB60</f>
        <v>0</v>
      </c>
      <c r="AB37" s="262">
        <f>SUM(Y37:AA37)</f>
        <v>657</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2.4493388888888887E-2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2.4493388888888887E-2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f>IF(OR(M$37&lt;1000,M$17&lt;=0),"",M$12/M$17)</f>
        <v>0.84717231058611564</v>
      </c>
      <c r="N44" s="266">
        <f>IF(OR(N$37&lt;1000,N$17&lt;=0),"",N$12/N$17)</f>
        <v>0.87235981944008434</v>
      </c>
      <c r="O44" s="266">
        <f>IF(OR(O$37&lt;1000,O$17&lt;=0),"",O$12/O$17)</f>
        <v>1.1422561869181089</v>
      </c>
      <c r="P44" s="266">
        <f>IF(OR(P$37&lt;1000,P$17&lt;=0),"",P$12/P$17)</f>
        <v>0.90551544757271563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2.4493388888888887E-2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0.93</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0.93</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11023865</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61583</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25561</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1026</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2015-07-29T17:55:02Z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