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P38" i="10" s="1"/>
  <c r="O16" i="10"/>
  <c r="P16" i="10" s="1"/>
  <c r="N17" i="10"/>
  <c r="N45" i="10" s="1"/>
  <c r="N12" i="10"/>
  <c r="M45" i="10"/>
  <c r="M17" i="10"/>
  <c r="M12" i="10"/>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6" i="10" s="1"/>
  <c r="E5" i="4"/>
  <c r="D60" i="4"/>
  <c r="D22" i="4"/>
  <c r="D5" i="4"/>
  <c r="K15" i="10" l="1"/>
  <c r="T6" i="10"/>
  <c r="AB6" i="10"/>
  <c r="AA13" i="10"/>
  <c r="G19" i="10"/>
  <c r="P53" i="10"/>
  <c r="E11" i="16" s="1"/>
  <c r="P45" i="10"/>
  <c r="P42" i="10"/>
  <c r="P52" i="10"/>
  <c r="F6" i="10"/>
  <c r="O7" i="10"/>
  <c r="P7" i="10" s="1"/>
  <c r="W7" i="10"/>
  <c r="X7" i="10" s="1"/>
  <c r="AB42" i="10"/>
  <c r="AB52" i="10"/>
  <c r="W6" i="10"/>
  <c r="L15" i="10"/>
  <c r="E7" i="10"/>
  <c r="F7" i="10" s="1"/>
  <c r="L6" i="10"/>
  <c r="L20" i="10" s="1"/>
  <c r="S15" i="10"/>
  <c r="Y46" i="10"/>
  <c r="AB13" i="10"/>
  <c r="AA15" i="10"/>
  <c r="G15" i="10"/>
  <c r="G7" i="10"/>
  <c r="G20" i="10" s="1"/>
  <c r="J6" i="10"/>
  <c r="O6" i="10"/>
  <c r="E15" i="10"/>
  <c r="L19" i="10"/>
  <c r="O17" i="10"/>
  <c r="O45" i="10" s="1"/>
  <c r="P39" i="10" s="1"/>
  <c r="H17" i="10" l="1"/>
  <c r="J38" i="10"/>
  <c r="K6" i="10"/>
  <c r="J12" i="10" s="1"/>
  <c r="I12" i="10"/>
  <c r="AA17" i="10"/>
  <c r="AA46" i="10" s="1"/>
  <c r="AB39" i="10" s="1"/>
  <c r="AB15" i="10"/>
  <c r="AB17" i="10" s="1"/>
  <c r="P47" i="10"/>
  <c r="P48" i="10"/>
  <c r="P51" i="10" s="1"/>
  <c r="D17" i="10"/>
  <c r="D45" i="10" s="1"/>
  <c r="X6" i="10"/>
  <c r="V17" i="10" s="1"/>
  <c r="V46" i="10" s="1"/>
  <c r="W13" i="10"/>
  <c r="F15" i="10"/>
  <c r="D12" i="10"/>
  <c r="W17" i="10"/>
  <c r="P6" i="10"/>
  <c r="O12" i="10"/>
  <c r="P12" i="10" s="1"/>
  <c r="G22" i="10"/>
  <c r="G23" i="10"/>
  <c r="G27" i="10"/>
  <c r="G32" i="10"/>
  <c r="G24" i="10"/>
  <c r="T15" i="10"/>
  <c r="L22" i="10"/>
  <c r="L27" i="10"/>
  <c r="L23" i="10"/>
  <c r="L32" i="10"/>
  <c r="L24" i="10"/>
  <c r="E12" i="10"/>
  <c r="K17" i="10"/>
  <c r="X17" i="10" l="1"/>
  <c r="T17" i="10"/>
  <c r="R13" i="10"/>
  <c r="Q17" i="10"/>
  <c r="Q13" i="10"/>
  <c r="S38" i="10"/>
  <c r="W38" i="10"/>
  <c r="AB53" i="10"/>
  <c r="H11" i="16" s="1"/>
  <c r="AB46" i="10"/>
  <c r="R17" i="10"/>
  <c r="R46" i="10" s="1"/>
  <c r="S17" i="10"/>
  <c r="F17" i="10"/>
  <c r="C17" i="10"/>
  <c r="E38" i="10"/>
  <c r="U13" i="10"/>
  <c r="U17" i="10"/>
  <c r="I17" i="10"/>
  <c r="I45" i="10" s="1"/>
  <c r="C12" i="10"/>
  <c r="G21" i="10"/>
  <c r="G26" i="10" s="1"/>
  <c r="G25" i="10" s="1"/>
  <c r="G28" i="10" s="1"/>
  <c r="G30" i="10"/>
  <c r="G31" i="10" s="1"/>
  <c r="G29" i="10" s="1"/>
  <c r="G33" i="10" s="1"/>
  <c r="G34" i="10" s="1"/>
  <c r="K38" i="10"/>
  <c r="V13" i="10"/>
  <c r="H45" i="10"/>
  <c r="L21" i="10"/>
  <c r="L26" i="10" s="1"/>
  <c r="L25" i="10" s="1"/>
  <c r="L28" i="10" s="1"/>
  <c r="L30" i="10"/>
  <c r="L31" i="10" s="1"/>
  <c r="L29" i="10" s="1"/>
  <c r="L33" i="10" s="1"/>
  <c r="L34" i="10" s="1"/>
  <c r="E17" i="10"/>
  <c r="J17" i="10"/>
  <c r="J45" i="10" s="1"/>
  <c r="H12" i="10"/>
  <c r="K12" i="10" s="1"/>
  <c r="S13" i="10"/>
  <c r="W46" i="10" l="1"/>
  <c r="X38" i="10"/>
  <c r="K53" i="10"/>
  <c r="D11" i="16" s="1"/>
  <c r="K39" i="10"/>
  <c r="K52" i="10"/>
  <c r="K45" i="10"/>
  <c r="K42" i="10"/>
  <c r="F38" i="10"/>
  <c r="E45" i="10"/>
  <c r="T38" i="10"/>
  <c r="S46" i="10"/>
  <c r="X13" i="10"/>
  <c r="U46" i="10"/>
  <c r="T13" i="10"/>
  <c r="Q46" i="10"/>
  <c r="F12" i="10"/>
  <c r="C45" i="10"/>
  <c r="AB48" i="10"/>
  <c r="AB51" i="10" s="1"/>
  <c r="AB47" i="10"/>
  <c r="X53" i="10" l="1"/>
  <c r="G11" i="16" s="1"/>
  <c r="X39" i="10"/>
  <c r="X52" i="10"/>
  <c r="X46" i="10"/>
  <c r="X42" i="10"/>
  <c r="F42" i="10"/>
  <c r="F52" i="10"/>
  <c r="F45" i="10"/>
  <c r="F53" i="10"/>
  <c r="C11" i="16" s="1"/>
  <c r="F39" i="10"/>
  <c r="T42" i="10"/>
  <c r="T52" i="10"/>
  <c r="T46" i="10"/>
  <c r="T39" i="10"/>
  <c r="T53" i="10"/>
  <c r="F11" i="16" s="1"/>
  <c r="K47" i="10"/>
  <c r="K48" i="10"/>
  <c r="K51" i="10" s="1"/>
  <c r="F48" i="10" l="1"/>
  <c r="F51" i="10" s="1"/>
  <c r="F47" i="10"/>
  <c r="X47" i="10"/>
  <c r="X48" i="10"/>
  <c r="X51" i="10" s="1"/>
  <c r="T48" i="10"/>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<sst xmlns="http://schemas.openxmlformats.org/spreadsheetml/2006/main" count="572" uniqueCount="511">
  <si>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</si>
  <si>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</si>
  <si>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</si>
  <si>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</si>
  <si>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</si>
  <si>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</si>
  <si>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</si>
  <si>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</si>
  <si>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</si>
  <si>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</si>
  <si>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</si>
  <si>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</si>
  <si>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</si>
  <si>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</si>
  <si>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</si>
  <si>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</si>
  <si>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</si>
  <si>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</si>
  <si>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</si>
  <si>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</si>
  <si>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</si>
  <si>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</si>
  <si>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</si>
  <si>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</si>
  <si>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</si>
  <si>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</si>
  <si>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</si>
  <si>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</si>
  <si>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</si>
  <si>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</si>
  <si>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</si>
  <si>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</si>
  <si>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</si>
  <si>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</si>
  <si>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</si>
  <si>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</si>
  <si>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</si>
  <si>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</si>
  <si>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</si>
  <si>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</si>
  <si>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</si>
  <si>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</si>
  <si>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</si>
  <si>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</si>
  <si>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</si>
  <si>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</si>
  <si>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</si>
  <si>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</si>
  <si>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</si>
  <si>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</si>
  <si>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</si>
  <si>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</si>
  <si>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</si>
  <si>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</si>
  <si>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</si>
  <si>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</si>
  <si>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</si>
  <si>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</si>
  <si>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</si>
  <si>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</si>
  <si>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</si>
  <si>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</si>
  <si>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</si>
  <si>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</si>
  <si>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</si>
  <si>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</si>
  <si>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</si>
  <si>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</si>
  <si>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</si>
  <si>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</si>
  <si>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</si>
  <si>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</si>
  <si>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</si>
  <si>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</si>
  <si>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</si>
  <si>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</si>
  <si>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</si>
  <si>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</si>
  <si>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</si>
  <si>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</si>
  <si>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</si>
  <si>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</si>
  <si>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</si>
  <si>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</si>
  <si>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</si>
  <si>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</si>
  <si>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</si>
  <si>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</si>
  <si>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</si>
  <si>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</si>
  <si>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</si>
  <si>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</si>
  <si>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</si>
  <si>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</si>
  <si>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</si>
  <si>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</si>
  <si>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</si>
  <si>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</si>
  <si>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</si>
  <si>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</si>
  <si>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</si>
  <si>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</si>
  <si>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</si>
  <si>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</si>
  <si>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</si>
  <si>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</si>
  <si>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</si>
  <si>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</si>
  <si>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</si>
  <si>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</si>
  <si>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</si>
  <si>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</si>
  <si>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</si>
  <si>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</si>
  <si>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</si>
  <si>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</si>
  <si>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</si>
  <si>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</si>
  <si>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</si>
  <si>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</si>
  <si>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</si>
  <si>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</si>
  <si>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</si>
  <si>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</si>
  <si>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</si>
  <si>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</si>
  <si>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</si>
  <si>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</si>
  <si>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</si>
  <si>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</si>
  <si>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</si>
  <si>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</si>
  <si>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</si>
  <si>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</si>
  <si>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</si>
  <si>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</si>
  <si>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</si>
  <si>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</si>
  <si>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</si>
  <si>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</si>
  <si>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</si>
  <si>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</si>
  <si>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</si>
  <si>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</si>
  <si>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</si>
  <si>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</si>
  <si>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</si>
  <si>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</si>
  <si>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</si>
  <si>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</si>
  <si>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</si>
  <si>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</si>
  <si>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</si>
  <si>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</si>
  <si>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</si>
  <si>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</si>
  <si>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</si>
  <si>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</si>
  <si>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</si>
  <si>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</si>
  <si>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</si>
  <si>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</si>
  <si>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</si>
  <si>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</si>
  <si>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</si>
  <si>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</si>
  <si>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</si>
  <si>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</si>
  <si>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</si>
  <si>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</si>
  <si>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</si>
  <si>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</si>
  <si>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</si>
  <si>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</si>
  <si>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</si>
  <si>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</si>
  <si>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</si>
  <si>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</si>
  <si>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</si>
  <si>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</si>
  <si>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</si>
  <si>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</si>
  <si>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</si>
  <si>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</si>
  <si>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</si>
  <si>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</si>
  <si>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</si>
  <si>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</si>
  <si>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</si>
  <si>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</si>
  <si>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</si>
  <si>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</si>
  <si>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</si>
  <si>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</si>
  <si>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</si>
  <si>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</si>
  <si>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</si>
  <si>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</si>
  <si>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</si>
  <si>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</si>
  <si>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</si>
  <si>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</si>
  <si>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</si>
  <si>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</si>
  <si>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</si>
  <si>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</si>
  <si>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</si>
  <si>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</si>
  <si>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</si>
  <si>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</si>
  <si>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</si>
  <si>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</si>
  <si>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</si>
  <si>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</si>
  <si>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</si>
  <si>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</si>
  <si>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</si>
  <si>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</si>
  <si>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</si>
  <si>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</si>
  <si>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</si>
  <si>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</si>
  <si>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</si>
  <si>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</si>
  <si>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</si>
  <si>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</si>
  <si>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</si>
  <si>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</si>
  <si>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</si>
  <si>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</si>
  <si>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</si>
  <si>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</si>
  <si>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</si>
  <si>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</si>
  <si>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</si>
  <si>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</si>
  <si>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</si>
  <si>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</si>
  <si>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</si>
  <si>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</si>
  <si>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</si>
  <si>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</si>
  <si>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</si>
  <si>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</si>
  <si>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</si>
  <si>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</si>
  <si>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</si>
  <si>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</si>
  <si>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</si>
  <si>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</si>
  <si>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</si>
  <si>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</si>
  <si>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</si>
  <si>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</si>
  <si>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</si>
  <si>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</si>
  <si>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</si>
  <si>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</si>
  <si>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</si>
  <si>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</si>
  <si>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</si>
  <si>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</si>
  <si>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</si>
  <si>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</si>
  <si>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</si>
  <si>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</si>
  <si>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</si>
  <si>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</si>
  <si>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</si>
  <si>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</si>
  <si>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</si>
  <si>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</si>
  <si>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</si>
  <si>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</si>
  <si>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</si>
  <si>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</si>
  <si>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</si>
  <si>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</si>
  <si>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</si>
  <si>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</si>
  <si>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</si>
  <si>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</si>
  <si>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</si>
  <si>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</si>
  <si>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</si>
  <si>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</si>
  <si>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</si>
  <si>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</si>
  <si>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</si>
  <si>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</si>
  <si>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</si>
  <si>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</si>
  <si>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</si>
  <si>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</si>
  <si>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</si>
  <si>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</si>
  <si>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</si>
  <si>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</si>
  <si>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</si>
  <si>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</si>
  <si>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</si>
  <si>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</si>
  <si>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</si>
  <si>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</si>
  <si>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</si>
  <si>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</si>
  <si>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</si>
  <si>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</si>
  <si>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</si>
  <si>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</si>
  <si>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</si>
  <si>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</si>
  <si>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</si>
  <si>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</si>
  <si>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</si>
  <si>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</si>
  <si>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</si>
  <si>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</si>
  <si>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</si>
  <si>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</si>
  <si>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</si>
  <si>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</si>
  <si>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</si>
  <si>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</si>
  <si>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</si>
  <si>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</si>
  <si>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</si>
  <si>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</si>
  <si>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</si>
  <si>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</si>
  <si>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</si>
  <si>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</si>
  <si>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</si>
  <si>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</si>
  <si>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</si>
  <si>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</si>
  <si>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</si>
  <si>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</si>
  <si>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</si>
  <si>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</si>
  <si>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</si>
  <si>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</si>
  <si>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</si>
  <si>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</si>
  <si>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</si>
  <si>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</si>
  <si>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</si>
  <si>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</si>
  <si>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</si>
  <si>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</si>
  <si>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</si>
  <si>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</si>
  <si>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</si>
  <si>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</si>
  <si>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</si>
  <si>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</si>
  <si>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</si>
  <si>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</si>
  <si>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</si>
  <si>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</si>
  <si>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</si>
  <si>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</si>
  <si>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</si>
  <si>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</si>
  <si>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</si>
  <si>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</si>
  <si>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</si>
  <si>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</si>
  <si>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</si>
  <si>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</si>
  <si>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</si>
  <si>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</si>
  <si>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</si>
  <si>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</si>
  <si>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</si>
  <si>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</si>
  <si>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</si>
  <si>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</si>
  <si>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</si>
  <si>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</si>
  <si>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</si>
  <si>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</si>
  <si>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</si>
  <si>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</si>
  <si>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</si>
  <si>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</si>
  <si>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</si>
  <si>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</si>
  <si>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</si>
  <si>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</si>
  <si>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</si>
  <si>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</si>
  <si>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</si>
  <si>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</si>
  <si>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</si>
  <si>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</si>
  <si>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</si>
  <si>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</si>
  <si>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</si>
  <si>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</si>
  <si>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</si>
  <si>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</si>
  <si>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</si>
  <si>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</si>
  <si>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</si>
  <si>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</si>
  <si>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</si>
  <si>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</si>
  <si>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</si>
  <si>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</si>
  <si>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</si>
  <si>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</si>
  <si>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</si>
  <si>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</si>
  <si>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</si>
  <si>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</si>
  <si>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</si>
  <si>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</si>
  <si>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</si>
  <si>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</si>
  <si>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</si>
  <si>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</si>
  <si>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</si>
  <si>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</si>
  <si>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</si>
  <si>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</si>
  <si>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</si>
  <si>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</si>
  <si>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</si>
  <si>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</si>
  <si>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</si>
  <si>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</si>
  <si>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</si>
  <si>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</si>
  <si>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</si>
  <si>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</si>
  <si>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</si>
  <si>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</si>
  <si>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</si>
  <si>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</si>
  <si>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</si>
  <si>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</si>
  <si>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</si>
  <si>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</si>
  <si>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</si>
  <si>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</si>
  <si>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</si>
  <si>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</si>
  <si>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</si>
  <si>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</si>
  <si>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</si>
  <si>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</si>
  <si>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</si>
  <si>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</si>
  <si>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</si>
  <si>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</si>
  <si>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</si>
  <si>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</si>
  <si>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</si>
  <si>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</si>
  <si>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</si>
  <si>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</si>
  <si>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</si>
  <si>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</si>
  <si>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</si>
  <si>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</si>
  <si>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</si>
  <si>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</si>
  <si>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</si>
  <si>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</si>
  <si>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</si>
  <si>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</si>
  <si>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</si>
  <si>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</si>
  <si>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</si>
  <si>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</si>
  <si>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</si>
  <si>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</si>
  <si>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</si>
  <si>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</si>
  <si>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</si>
  <si>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</si>
  <si>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</si>
  <si>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</si>
  <si>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</si>
  <si>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</si>
  <si>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</si>
  <si>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</si>
  <si>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</si>
  <si>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</si>
  <si>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</si>
  <si>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</si>
  <si>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</si>
  <si>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</si>
  <si>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</si>
  <si>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</si>
  <si>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</si>
  <si>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</si>
  <si>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</si>
  <si>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</si>
  <si>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</si>
  <si>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</si>
  <si>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</si>
  <si>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</si>
  <si>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</si>
  <si>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69401</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</si>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</sst>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528090</v>
      </c>
      <c r="E5" s="219">
        <f>SUM('Pt 2 Premium and Claims'!E$5,'Pt 2 Premium and Claims'!E$6,-'Pt 2 Premium and Claims'!E$7,-'Pt 2 Premium and Claims'!E$13,'Pt 2 Premium and Claims'!E$14:'Pt 2 Premium and Claims'!E$17)</f>
        <v>526692</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181275</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6</v>
      </c>
      <c r="E7" s="223">
        <v>6</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517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833998</v>
      </c>
      <c r="E12" s="219">
        <f>'Pt 2 Premium and Claims'!E$54</f>
        <v>787429</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3090</v>
      </c>
      <c r="Q12" s="219">
        <f>'Pt 2 Premium and Claims'!Q$54</f>
        <v>-415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-2039</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-312215</v>
      </c>
      <c r="AU12" s="220">
        <f>'Pt 2 Premium and Claims'!AU$54</f>
        <v>0</v>
      </c>
      <c r="AV12" s="297"/>
      <c r="AW12" s="302"/>
    </row>
    <row r="13" spans="1:49" ht="25.5" x14ac:dyDescent="0.2">
      <c r="B13" s="245" t="s">
        <v>230</v>
      </c>
      <c r="C13" s="209" t="s">
        <v>37</v>
      </c>
      <c r="D13" s="222">
        <v>285664</v>
      </c>
      <c r="E13" s="223">
        <v>259320</v>
      </c>
      <c r="F13" s="223"/>
      <c r="G13" s="274"/>
      <c r="H13" s="275"/>
      <c r="I13" s="222">
        <v>0</v>
      </c>
      <c r="J13" s="222">
        <v>0</v>
      </c>
      <c r="K13" s="223">
        <v>0</v>
      </c>
      <c r="L13" s="223"/>
      <c r="M13" s="274"/>
      <c r="N13" s="275"/>
      <c r="O13" s="222"/>
      <c r="P13" s="222">
        <v>360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14403</v>
      </c>
      <c r="E14" s="223">
        <v>18616</v>
      </c>
      <c r="F14" s="223"/>
      <c r="G14" s="273"/>
      <c r="H14" s="276"/>
      <c r="I14" s="222">
        <v>0</v>
      </c>
      <c r="J14" s="222">
        <v>0</v>
      </c>
      <c r="K14" s="223">
        <v>0</v>
      </c>
      <c r="L14" s="223"/>
      <c r="M14" s="273"/>
      <c r="N14" s="276"/>
      <c r="O14" s="222"/>
      <c r="P14" s="222">
        <v>0</v>
      </c>
      <c r="Q14" s="223">
        <v>16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12239</v>
      </c>
      <c r="AU14" s="226">
        <v>0</v>
      </c>
      <c r="AV14" s="296"/>
      <c r="AW14" s="303"/>
    </row>
    <row r="15" spans="1:49" ht="38.25" x14ac:dyDescent="0.2">
      <c r="B15" s="245" t="s">
        <v>232</v>
      </c>
      <c r="C15" s="209" t="s">
        <v>7</v>
      </c>
      <c r="D15" s="222">
        <v>2474</v>
      </c>
      <c r="E15" s="223">
        <v>2474</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-42563</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973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-200066</v>
      </c>
      <c r="E25" s="223">
        <v>-200066</v>
      </c>
      <c r="F25" s="223"/>
      <c r="G25" s="223"/>
      <c r="H25" s="223"/>
      <c r="I25" s="222">
        <v>0</v>
      </c>
      <c r="J25" s="222">
        <v>0</v>
      </c>
      <c r="K25" s="223">
        <v>0</v>
      </c>
      <c r="L25" s="223"/>
      <c r="M25" s="223"/>
      <c r="N25" s="223"/>
      <c r="O25" s="222"/>
      <c r="P25" s="222">
        <v>2857</v>
      </c>
      <c r="Q25" s="223">
        <v>2857</v>
      </c>
      <c r="R25" s="223"/>
      <c r="S25" s="223"/>
      <c r="T25" s="223"/>
      <c r="U25" s="222">
        <v>0</v>
      </c>
      <c r="V25" s="223">
        <v>0</v>
      </c>
      <c r="W25" s="223"/>
      <c r="X25" s="222">
        <v>0</v>
      </c>
      <c r="Y25" s="223">
        <v>0</v>
      </c>
      <c r="Z25" s="223"/>
      <c r="AA25" s="222">
        <v>983</v>
      </c>
      <c r="AB25" s="223">
        <v>983</v>
      </c>
      <c r="AC25" s="223"/>
      <c r="AD25" s="222"/>
      <c r="AE25" s="276"/>
      <c r="AF25" s="276"/>
      <c r="AG25" s="276"/>
      <c r="AH25" s="279"/>
      <c r="AI25" s="222"/>
      <c r="AJ25" s="276"/>
      <c r="AK25" s="276"/>
      <c r="AL25" s="276"/>
      <c r="AM25" s="279"/>
      <c r="AN25" s="222"/>
      <c r="AO25" s="223"/>
      <c r="AP25" s="223"/>
      <c r="AQ25" s="223"/>
      <c r="AR25" s="223"/>
      <c r="AS25" s="222">
        <v>0</v>
      </c>
      <c r="AT25" s="226">
        <v>233139</v>
      </c>
      <c r="AU25" s="226">
        <v>0</v>
      </c>
      <c r="AV25" s="226">
        <v>-24119</v>
      </c>
      <c r="AW25" s="303"/>
    </row>
    <row r="26" spans="1:49" s="11" customFormat="1" x14ac:dyDescent="0.2">
      <c r="A26" s="41"/>
      <c r="B26" s="248" t="s">
        <v>242</v>
      </c>
      <c r="C26" s="209"/>
      <c r="D26" s="222">
        <v>371</v>
      </c>
      <c r="E26" s="223">
        <v>371</v>
      </c>
      <c r="F26" s="223"/>
      <c r="G26" s="223"/>
      <c r="H26" s="223"/>
      <c r="I26" s="222">
        <v>0</v>
      </c>
      <c r="J26" s="222">
        <v>0</v>
      </c>
      <c r="K26" s="223">
        <v>0</v>
      </c>
      <c r="L26" s="223"/>
      <c r="M26" s="223"/>
      <c r="N26" s="223"/>
      <c r="O26" s="222"/>
      <c r="P26" s="222">
        <v>36</v>
      </c>
      <c r="Q26" s="223">
        <v>36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9523</v>
      </c>
      <c r="E27" s="223">
        <v>9523</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5410</v>
      </c>
      <c r="AU27" s="226">
        <v>0</v>
      </c>
      <c r="AV27" s="299"/>
      <c r="AW27" s="303"/>
    </row>
    <row r="28" spans="1:49" s="11" customFormat="1" x14ac:dyDescent="0.2">
      <c r="A28" s="41"/>
      <c r="B28" s="248" t="s">
        <v>244</v>
      </c>
      <c r="C28" s="209"/>
      <c r="D28" s="222">
        <v>959</v>
      </c>
      <c r="E28" s="223">
        <v>959</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-16</v>
      </c>
      <c r="AB28" s="223">
        <v>-16</v>
      </c>
      <c r="AC28" s="223"/>
      <c r="AD28" s="222"/>
      <c r="AE28" s="276"/>
      <c r="AF28" s="276"/>
      <c r="AG28" s="276"/>
      <c r="AH28" s="276"/>
      <c r="AI28" s="222"/>
      <c r="AJ28" s="276"/>
      <c r="AK28" s="276"/>
      <c r="AL28" s="276"/>
      <c r="AM28" s="276"/>
      <c r="AN28" s="222"/>
      <c r="AO28" s="223"/>
      <c r="AP28" s="223"/>
      <c r="AQ28" s="223"/>
      <c r="AR28" s="223"/>
      <c r="AS28" s="222">
        <v>0</v>
      </c>
      <c r="AT28" s="226">
        <v>348</v>
      </c>
      <c r="AU28" s="226">
        <v>0</v>
      </c>
      <c r="AV28" s="226">
        <v>3420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4386</v>
      </c>
      <c r="E30" s="223">
        <v>4386</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1504</v>
      </c>
      <c r="AU30" s="226">
        <v>0</v>
      </c>
      <c r="AV30" s="226">
        <v>55</v>
      </c>
      <c r="AW30" s="303"/>
    </row>
    <row r="31" spans="1:49" x14ac:dyDescent="0.2">
      <c r="B31" s="248" t="s">
        <v>247</v>
      </c>
      <c r="C31" s="209"/>
      <c r="D31" s="222">
        <v>3708</v>
      </c>
      <c r="E31" s="223">
        <v>3708</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1273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7980</v>
      </c>
      <c r="E34" s="223">
        <v>7980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375</v>
      </c>
      <c r="E37" s="231">
        <v>359</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25</v>
      </c>
      <c r="AW37" s="302"/>
    </row>
    <row r="38" spans="1:49" x14ac:dyDescent="0.2">
      <c r="B38" s="245" t="s">
        <v>254</v>
      </c>
      <c r="C38" s="209" t="s">
        <v>16</v>
      </c>
      <c r="D38" s="222">
        <v>71</v>
      </c>
      <c r="E38" s="223">
        <v>55</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v>
      </c>
      <c r="AW38" s="303"/>
    </row>
    <row r="39" spans="1:49" x14ac:dyDescent="0.2">
      <c r="B39" s="248" t="s">
        <v>255</v>
      </c>
      <c r="C39" s="209" t="s">
        <v>17</v>
      </c>
      <c r="D39" s="222">
        <v>1111</v>
      </c>
      <c r="E39" s="223">
        <v>1080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45</v>
      </c>
      <c r="AW39" s="303"/>
    </row>
    <row r="40" spans="1:49" x14ac:dyDescent="0.2">
      <c r="B40" s="248" t="s">
        <v>256</v>
      </c>
      <c r="C40" s="209" t="s">
        <v>38</v>
      </c>
      <c r="D40" s="222">
        <v>213</v>
      </c>
      <c r="E40" s="223">
        <v>213</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39</v>
      </c>
      <c r="AW40" s="303"/>
    </row>
    <row r="41" spans="1:49" s="11" customFormat="1" ht="25.5" x14ac:dyDescent="0.2">
      <c r="A41" s="41"/>
      <c r="B41" s="248" t="s">
        <v>257</v>
      </c>
      <c r="C41" s="209" t="s">
        <v>129</v>
      </c>
      <c r="D41" s="222">
        <v>205</v>
      </c>
      <c r="E41" s="223">
        <v>205</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13</v>
      </c>
      <c r="AU41" s="226">
        <v>0</v>
      </c>
      <c r="AV41" s="226">
        <v>493</v>
      </c>
      <c r="AW41" s="303"/>
    </row>
    <row r="42" spans="1:49" s="11" customFormat="1" ht="24.95" customHeight="1" x14ac:dyDescent="0.2">
      <c r="A42" s="41"/>
      <c r="B42" s="245" t="s">
        <v>258</v>
      </c>
      <c r="C42" s="209" t="s">
        <v>87</v>
      </c>
      <c r="D42" s="222">
        <v>6</v>
      </c>
      <c r="E42" s="223">
        <v>6</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27</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5013</v>
      </c>
      <c r="E44" s="231">
        <v>2534</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8</v>
      </c>
      <c r="AU44" s="232">
        <v>0</v>
      </c>
      <c r="AV44" s="232">
        <v>11247</v>
      </c>
      <c r="AW44" s="302"/>
    </row>
    <row r="45" spans="1:49" x14ac:dyDescent="0.2">
      <c r="B45" s="251" t="s">
        <v>261</v>
      </c>
      <c r="C45" s="209" t="s">
        <v>19</v>
      </c>
      <c r="D45" s="222">
        <v>-1650</v>
      </c>
      <c r="E45" s="223">
        <v>-1650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-28</v>
      </c>
      <c r="AU45" s="226">
        <v>0</v>
      </c>
      <c r="AV45" s="226">
        <v>279</v>
      </c>
      <c r="AW45" s="303"/>
    </row>
    <row r="46" spans="1:49" x14ac:dyDescent="0.2">
      <c r="B46" s="251" t="s">
        <v>262</v>
      </c>
      <c r="C46" s="209" t="s">
        <v>20</v>
      </c>
      <c r="D46" s="222">
        <v>2749</v>
      </c>
      <c r="E46" s="223">
        <v>2749</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502</v>
      </c>
      <c r="AU46" s="226">
        <v>0</v>
      </c>
      <c r="AV46" s="226">
        <v>4942</v>
      </c>
      <c r="AW46" s="303"/>
    </row>
    <row r="47" spans="1:49" x14ac:dyDescent="0.2">
      <c r="B47" s="251" t="s">
        <v>263</v>
      </c>
      <c r="C47" s="209" t="s">
        <v>21</v>
      </c>
      <c r="D47" s="222">
        <v>10931</v>
      </c>
      <c r="E47" s="223">
        <v>10931</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2793</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-1299</v>
      </c>
      <c r="E49" s="223">
        <v>-1299</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24</v>
      </c>
      <c r="AU49" s="226">
        <v>0</v>
      </c>
      <c r="AV49" s="226">
        <v>0</v>
      </c>
      <c r="AW49" s="303"/>
    </row>
    <row r="50" spans="2:49" ht="25.5" x14ac:dyDescent="0.2">
      <c r="B50" s="245" t="s">
        <v>265</v>
      </c>
      <c r="C50" s="209"/>
      <c r="D50" s="222">
        <v>28</v>
      </c>
      <c r="E50" s="223">
        <v>28</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7</v>
      </c>
      <c r="AU50" s="226">
        <v>0</v>
      </c>
      <c r="AV50" s="226">
        <v>0</v>
      </c>
      <c r="AW50" s="303"/>
    </row>
    <row r="51" spans="2:49" x14ac:dyDescent="0.2">
      <c r="B51" s="245" t="s">
        <v>266</v>
      </c>
      <c r="C51" s="209"/>
      <c r="D51" s="222">
        <v>116542</v>
      </c>
      <c r="E51" s="223">
        <v>116542</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16</v>
      </c>
      <c r="AB51" s="223">
        <v>16</v>
      </c>
      <c r="AC51" s="223"/>
      <c r="AD51" s="222"/>
      <c r="AE51" s="276"/>
      <c r="AF51" s="276"/>
      <c r="AG51" s="276"/>
      <c r="AH51" s="276"/>
      <c r="AI51" s="222"/>
      <c r="AJ51" s="276"/>
      <c r="AK51" s="276"/>
      <c r="AL51" s="276"/>
      <c r="AM51" s="276"/>
      <c r="AN51" s="222"/>
      <c r="AO51" s="223"/>
      <c r="AP51" s="223"/>
      <c r="AQ51" s="223"/>
      <c r="AR51" s="223"/>
      <c r="AS51" s="222">
        <v>0</v>
      </c>
      <c r="AT51" s="226">
        <v>3685</v>
      </c>
      <c r="AU51" s="226">
        <v>0</v>
      </c>
      <c r="AV51" s="226">
        <v>178786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38</v>
      </c>
      <c r="E53" s="223">
        <v>38</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112</v>
      </c>
      <c r="AU53" s="226">
        <v>0</v>
      </c>
      <c r="AV53" s="226">
        <v>51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-1841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91</v>
      </c>
      <c r="E56" s="235">
        <v>91</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339</v>
      </c>
      <c r="AU56" s="236">
        <v>0</v>
      </c>
      <c r="AV56" s="236">
        <v>37</v>
      </c>
      <c r="AW56" s="294"/>
    </row>
    <row r="57" spans="2:49" x14ac:dyDescent="0.2">
      <c r="B57" s="251" t="s">
        <v>272</v>
      </c>
      <c r="C57" s="209" t="s">
        <v>25</v>
      </c>
      <c r="D57" s="237">
        <v>160</v>
      </c>
      <c r="E57" s="238">
        <v>160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594</v>
      </c>
      <c r="AU57" s="239">
        <v>0</v>
      </c>
      <c r="AV57" s="239">
        <v>131</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3</v>
      </c>
      <c r="AU58" s="239">
        <v>0</v>
      </c>
      <c r="AV58" s="239">
        <v>0</v>
      </c>
      <c r="AW58" s="295"/>
    </row>
    <row r="59" spans="2:49" x14ac:dyDescent="0.2">
      <c r="B59" s="251" t="s">
        <v>274</v>
      </c>
      <c r="C59" s="209" t="s">
        <v>27</v>
      </c>
      <c r="D59" s="237">
        <v>2091</v>
      </c>
      <c r="E59" s="238">
        <v>2091</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7334</v>
      </c>
      <c r="AU59" s="239">
        <v>0</v>
      </c>
      <c r="AV59" s="239">
        <v>1587</v>
      </c>
      <c r="AW59" s="295"/>
    </row>
    <row r="60" spans="2:49" x14ac:dyDescent="0.2">
      <c r="B60" s="251" t="s">
        <v>275</v>
      </c>
      <c r="C60" s="209"/>
      <c r="D60" s="240">
        <f>D$59/12</f>
        <v>174.25</v>
      </c>
      <c r="E60" s="241">
        <f>E$59/12</f>
        <v>174.25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611.16666666666663</v>
      </c>
      <c r="AU60" s="242">
        <f>AU$59/12</f>
        <v>0</v>
      </c>
      <c r="AV60" s="242">
        <f>AV$59/12</f>
        <v>132.25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425872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8056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521977</v>
      </c>
      <c r="E5" s="332">
        <v>520666</v>
      </c>
      <c r="F5" s="332"/>
      <c r="G5" s="334"/>
      <c r="H5" s="334"/>
      <c r="I5" s="331">
        <v>0</v>
      </c>
      <c r="J5" s="331">
        <v>0</v>
      </c>
      <c r="K5" s="332">
        <v>0</v>
      </c>
      <c r="L5" s="332"/>
      <c r="M5" s="332"/>
      <c r="N5" s="332"/>
      <c r="O5" s="331"/>
      <c r="P5" s="331">
        <v>26</v>
      </c>
      <c r="Q5" s="332">
        <v>14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178840</v>
      </c>
      <c r="AU5" s="333">
        <v>0</v>
      </c>
      <c r="AV5" s="375"/>
      <c r="AW5" s="379"/>
    </row>
    <row r="6" spans="2:49" x14ac:dyDescent="0.2">
      <c r="B6" s="349" t="s">
        <v>278</v>
      </c>
      <c r="C6" s="337" t="s">
        <v>8</v>
      </c>
      <c r="D6" s="324">
        <v>6562</v>
      </c>
      <c r="E6" s="325">
        <v>6562</v>
      </c>
      <c r="F6" s="325"/>
      <c r="G6" s="326"/>
      <c r="H6" s="326"/>
      <c r="I6" s="324">
        <v>0</v>
      </c>
      <c r="J6" s="324">
        <v>0</v>
      </c>
      <c r="K6" s="325">
        <v>0</v>
      </c>
      <c r="L6" s="325"/>
      <c r="M6" s="325"/>
      <c r="N6" s="325"/>
      <c r="O6" s="324"/>
      <c r="P6" s="324">
        <v>-14</v>
      </c>
      <c r="Q6" s="325">
        <v>-14</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3867</v>
      </c>
      <c r="AU6" s="327">
        <v>0</v>
      </c>
      <c r="AV6" s="374"/>
      <c r="AW6" s="380"/>
    </row>
    <row r="7" spans="2:49" x14ac:dyDescent="0.2">
      <c r="B7" s="349" t="s">
        <v>279</v>
      </c>
      <c r="C7" s="337" t="s">
        <v>9</v>
      </c>
      <c r="D7" s="324">
        <v>449</v>
      </c>
      <c r="E7" s="325"/>
      <c r="F7" s="325"/>
      <c r="G7" s="326"/>
      <c r="H7" s="326"/>
      <c r="I7" s="324"/>
      <c r="J7" s="324">
        <v>0</v>
      </c>
      <c r="K7" s="325"/>
      <c r="L7" s="325"/>
      <c r="M7" s="325"/>
      <c r="N7" s="325"/>
      <c r="O7" s="324"/>
      <c r="P7" s="324">
        <v>12</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1432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536</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903477</v>
      </c>
      <c r="E23" s="368"/>
      <c r="F23" s="368"/>
      <c r="G23" s="368"/>
      <c r="H23" s="368"/>
      <c r="I23" s="370"/>
      <c r="J23" s="324">
        <v>0</v>
      </c>
      <c r="K23" s="368"/>
      <c r="L23" s="368"/>
      <c r="M23" s="368"/>
      <c r="N23" s="368"/>
      <c r="O23" s="370"/>
      <c r="P23" s="324">
        <v>2502</v>
      </c>
      <c r="Q23" s="368"/>
      <c r="R23" s="368"/>
      <c r="S23" s="368"/>
      <c r="T23" s="368"/>
      <c r="U23" s="324">
        <v>0</v>
      </c>
      <c r="V23" s="368"/>
      <c r="W23" s="368"/>
      <c r="X23" s="324">
        <v>0</v>
      </c>
      <c r="Y23" s="368"/>
      <c r="Z23" s="368"/>
      <c r="AA23" s="324">
        <v>2074</v>
      </c>
      <c r="AB23" s="368"/>
      <c r="AC23" s="368"/>
      <c r="AD23" s="324"/>
      <c r="AE23" s="368"/>
      <c r="AF23" s="368"/>
      <c r="AG23" s="368"/>
      <c r="AH23" s="368"/>
      <c r="AI23" s="324"/>
      <c r="AJ23" s="368"/>
      <c r="AK23" s="368"/>
      <c r="AL23" s="368"/>
      <c r="AM23" s="368"/>
      <c r="AN23" s="324"/>
      <c r="AO23" s="368"/>
      <c r="AP23" s="368"/>
      <c r="AQ23" s="368"/>
      <c r="AR23" s="368"/>
      <c r="AS23" s="324">
        <v>0</v>
      </c>
      <c r="AT23" s="327">
        <v>63981</v>
      </c>
      <c r="AU23" s="327">
        <v>0</v>
      </c>
      <c r="AV23" s="374"/>
      <c r="AW23" s="380"/>
    </row>
    <row r="24" spans="2:49" ht="28.5" customHeight="1" x14ac:dyDescent="0.2">
      <c r="B24" s="351" t="s">
        <v>114</v>
      </c>
      <c r="C24" s="337"/>
      <c r="D24" s="371"/>
      <c r="E24" s="325">
        <v>805368</v>
      </c>
      <c r="F24" s="325"/>
      <c r="G24" s="325"/>
      <c r="H24" s="325"/>
      <c r="I24" s="324">
        <v>0</v>
      </c>
      <c r="J24" s="371"/>
      <c r="K24" s="325">
        <v>0</v>
      </c>
      <c r="L24" s="325"/>
      <c r="M24" s="325"/>
      <c r="N24" s="325"/>
      <c r="O24" s="324"/>
      <c r="P24" s="371"/>
      <c r="Q24" s="325">
        <v>-420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38034</v>
      </c>
      <c r="E26" s="368"/>
      <c r="F26" s="368"/>
      <c r="G26" s="368"/>
      <c r="H26" s="368"/>
      <c r="I26" s="370"/>
      <c r="J26" s="324">
        <v>0</v>
      </c>
      <c r="K26" s="368"/>
      <c r="L26" s="368"/>
      <c r="M26" s="368"/>
      <c r="N26" s="368"/>
      <c r="O26" s="370"/>
      <c r="P26" s="324">
        <v>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8896</v>
      </c>
      <c r="AU26" s="327">
        <v>0</v>
      </c>
      <c r="AV26" s="374"/>
      <c r="AW26" s="380"/>
    </row>
    <row r="27" spans="2:49" s="11" customFormat="1" ht="25.5" x14ac:dyDescent="0.2">
      <c r="B27" s="351" t="s">
        <v>85</v>
      </c>
      <c r="C27" s="337"/>
      <c r="D27" s="371"/>
      <c r="E27" s="325">
        <v>3138</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82216</v>
      </c>
      <c r="E28" s="369"/>
      <c r="F28" s="369"/>
      <c r="G28" s="369"/>
      <c r="H28" s="369"/>
      <c r="I28" s="371"/>
      <c r="J28" s="324">
        <v>0</v>
      </c>
      <c r="K28" s="369"/>
      <c r="L28" s="369"/>
      <c r="M28" s="369"/>
      <c r="N28" s="369"/>
      <c r="O28" s="371"/>
      <c r="P28" s="324">
        <v>-581</v>
      </c>
      <c r="Q28" s="369"/>
      <c r="R28" s="369"/>
      <c r="S28" s="369"/>
      <c r="T28" s="369"/>
      <c r="U28" s="324">
        <v>0</v>
      </c>
      <c r="V28" s="369"/>
      <c r="W28" s="369"/>
      <c r="X28" s="324">
        <v>0</v>
      </c>
      <c r="Y28" s="369"/>
      <c r="Z28" s="369"/>
      <c r="AA28" s="324">
        <v>4113</v>
      </c>
      <c r="AB28" s="369"/>
      <c r="AC28" s="369"/>
      <c r="AD28" s="324"/>
      <c r="AE28" s="368"/>
      <c r="AF28" s="368"/>
      <c r="AG28" s="368"/>
      <c r="AH28" s="368"/>
      <c r="AI28" s="324"/>
      <c r="AJ28" s="368"/>
      <c r="AK28" s="368"/>
      <c r="AL28" s="368"/>
      <c r="AM28" s="368"/>
      <c r="AN28" s="324"/>
      <c r="AO28" s="369"/>
      <c r="AP28" s="369"/>
      <c r="AQ28" s="369"/>
      <c r="AR28" s="369"/>
      <c r="AS28" s="324">
        <v>0</v>
      </c>
      <c r="AT28" s="327">
        <v>11423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15942</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2140981</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14975</v>
      </c>
      <c r="E32" s="369"/>
      <c r="F32" s="369"/>
      <c r="G32" s="369"/>
      <c r="H32" s="369"/>
      <c r="I32" s="371"/>
      <c r="J32" s="324">
        <v>0</v>
      </c>
      <c r="K32" s="369"/>
      <c r="L32" s="369"/>
      <c r="M32" s="369"/>
      <c r="N32" s="369"/>
      <c r="O32" s="371"/>
      <c r="P32" s="324">
        <v>-1</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2514650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73307</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73307</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95138</v>
      </c>
      <c r="E36" s="325">
        <v>95138</v>
      </c>
      <c r="F36" s="325"/>
      <c r="G36" s="325"/>
      <c r="H36" s="325"/>
      <c r="I36" s="324">
        <v>0</v>
      </c>
      <c r="J36" s="324">
        <v>0</v>
      </c>
      <c r="K36" s="325">
        <v>0</v>
      </c>
      <c r="L36" s="325"/>
      <c r="M36" s="325"/>
      <c r="N36" s="325"/>
      <c r="O36" s="324"/>
      <c r="P36" s="324">
        <v>-5</v>
      </c>
      <c r="Q36" s="325">
        <v>-5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768</v>
      </c>
      <c r="E45" s="325">
        <v>768</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10757</v>
      </c>
      <c r="E49" s="325">
        <v>14</v>
      </c>
      <c r="F49" s="325"/>
      <c r="G49" s="325"/>
      <c r="H49" s="325"/>
      <c r="I49" s="324">
        <v>0</v>
      </c>
      <c r="J49" s="324">
        <v>0</v>
      </c>
      <c r="K49" s="325">
        <v>0</v>
      </c>
      <c r="L49" s="325"/>
      <c r="M49" s="325"/>
      <c r="N49" s="325"/>
      <c r="O49" s="324"/>
      <c r="P49" s="324">
        <v>8</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5556</v>
      </c>
      <c r="E50" s="369"/>
      <c r="F50" s="369"/>
      <c r="G50" s="369"/>
      <c r="H50" s="369"/>
      <c r="I50" s="371"/>
      <c r="J50" s="324">
        <v>0</v>
      </c>
      <c r="K50" s="369"/>
      <c r="L50" s="369"/>
      <c r="M50" s="369"/>
      <c r="N50" s="369"/>
      <c r="O50" s="371"/>
      <c r="P50" s="324">
        <v>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833998</v>
      </c>
      <c r="E54" s="329">
        <f>E24+E27+E31+E35-E36+E39+E42+E45+E46-E49+E51+E52+E53</f>
        <v>787429</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3090</v>
      </c>
      <c r="Q54" s="329">
        <f>Q24+Q27+Q31+Q35-Q36+Q39+Q42+Q45+Q46-Q49+Q51+Q52+Q53</f>
        <v>-415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-2039</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-312215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179025</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971861</v>
      </c>
      <c r="D6" s="404">
        <v>793603</v>
      </c>
      <c r="E6" s="406">
        <f>SUM('Pt 1 Summary of Data'!E$12,'Pt 1 Summary of Data'!E$22)+SUM('Pt 1 Summary of Data'!G$12,'Pt 1 Summary of Data'!G$22)-SUM('Pt 1 Summary of Data'!H$12,'Pt 1 Summary of Data'!H$22)</f>
        <v>787429</v>
      </c>
      <c r="F6" s="406">
        <f>SUM(C6:E6)</f>
        <v>2552893</v>
      </c>
      <c r="G6" s="407">
        <f>SUM('Pt 1 Summary of Data'!I$12,'Pt 1 Summary of Data'!I$22)</f>
        <v>0</v>
      </c>
      <c r="H6" s="403">
        <v>-11</v>
      </c>
      <c r="I6" s="404">
        <v>-5</v>
      </c>
      <c r="J6" s="406">
        <f>SUM('Pt 1 Summary of Data'!K$12,'Pt 1 Summary of Data'!K$22)+SUM('Pt 1 Summary of Data'!M$12,'Pt 1 Summary of Data'!M$22)-SUM('Pt 1 Summary of Data'!N$12,'Pt 1 Summary of Data'!N$22)</f>
        <v>0</v>
      </c>
      <c r="K6" s="406">
        <f>SUM(H6:J6)</f>
        <v>-16</v>
      </c>
      <c r="L6" s="407">
        <f>SUM('Pt 1 Summary of Data'!O$12,'Pt 1 Summary of Data'!O$22)</f>
        <v>0</v>
      </c>
      <c r="M6" s="403">
        <v>460121</v>
      </c>
      <c r="N6" s="404">
        <v>-14063</v>
      </c>
      <c r="O6" s="406">
        <f>SUM('Pt 1 Summary of Data'!Q$12,'Pt 1 Summary of Data'!Q$22)+SUM('Pt 1 Summary of Data'!S$12,'Pt 1 Summary of Data'!S$22)-SUM('Pt 1 Summary of Data'!T$12,'Pt 1 Summary of Data'!T$22)</f>
        <v>-415</v>
      </c>
      <c r="P6" s="406">
        <f>SUM(M6:O6)</f>
        <v>445643</v>
      </c>
      <c r="Q6" s="403">
        <v>0</v>
      </c>
      <c r="R6" s="404">
        <v>0</v>
      </c>
      <c r="S6" s="406">
        <f>SUM('Pt 1 Summary of Data'!V$12,'Pt 1 Summary of Data'!V$22)</f>
        <v>0</v>
      </c>
      <c r="T6" s="406">
        <f>SUM(Q6:S6)</f>
        <v>0</v>
      </c>
      <c r="U6" s="403">
        <v>0</v>
      </c>
      <c r="V6" s="404">
        <v>0</v>
      </c>
      <c r="W6" s="406">
        <f>SUM('Pt 1 Summary of Data'!Y$12,'Pt 1 Summary of Data'!Y$22)</f>
        <v>0</v>
      </c>
      <c r="X6" s="406">
        <f>SUM(U6:W6)</f>
        <v>0</v>
      </c>
      <c r="Y6" s="403">
        <v>480296</v>
      </c>
      <c r="Z6" s="404">
        <v>0</v>
      </c>
      <c r="AA6" s="406">
        <f>SUM('Pt 1 Summary of Data'!AB$12,'Pt 1 Summary of Data'!AB$22)</f>
        <v>0</v>
      </c>
      <c r="AB6" s="406">
        <f>SUM(Y6:AA6)</f>
        <v>480296</v>
      </c>
      <c r="AC6" s="449"/>
      <c r="AD6" s="447"/>
      <c r="AE6" s="447"/>
      <c r="AF6" s="447"/>
      <c r="AG6" s="449"/>
      <c r="AH6" s="447"/>
      <c r="AI6" s="447"/>
      <c r="AJ6" s="447"/>
      <c r="AK6" s="403"/>
      <c r="AL6" s="404"/>
      <c r="AM6" s="406"/>
      <c r="AN6" s="436"/>
    </row>
    <row r="7" spans="1:40" x14ac:dyDescent="0.2">
      <c r="B7" s="421" t="s">
        <v>310</v>
      </c>
      <c r="C7" s="403">
        <v>12146</v>
      </c>
      <c r="D7" s="404">
        <v>4932</v>
      </c>
      <c r="E7" s="406">
        <f>SUM('Pt 1 Summary of Data'!E$37:E$41)+SUM('Pt 1 Summary of Data'!G$37:G$41)-SUM('Pt 1 Summary of Data'!H$37:H$41)+MAX(0,MIN('Pt 1 Summary of Data'!E$42+'Pt 1 Summary of Data'!G$42-'Pt 1 Summary of Data'!H$42,0.3%*('Pt 1 Summary of Data'!E$5+'Pt 1 Summary of Data'!G$5-'Pt 1 Summary of Data'!H$5-SUM(E$9:E$11))))</f>
        <v>1918</v>
      </c>
      <c r="F7" s="406">
        <f>SUM(C7:E7)</f>
        <v>18996</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5179</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5179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984007</v>
      </c>
      <c r="D12" s="406">
        <f>SUM(D$6:D$7) - SUM(D$8:D$11)+IF(AND(OR('Company Information'!$C$12="District of Columbia",'Company Information'!$C$12="Massachusetts",'Company Information'!$C$12="Vermont"),SUM($C$6:$F$11,$C$15:$F$16,$C$38:$D$38)&lt;&gt;0),SUM(I$6:I$7) - SUM(I$10:I$11),0)</f>
        <v>798535</v>
      </c>
      <c r="E12" s="406">
        <f>SUM(E$6:E$7)-SUM(E$8:E$11)+IF(AND(OR('Company Information'!$C$12="District of Columbia",'Company Information'!$C$12="Massachusetts",'Company Information'!$C$12="Vermont"),SUM($C$6:$F$11,$C$15:$F$16,$C$38:$D$38)&lt;&gt;0),SUM(J$6:J$7)-SUM(J$10:J$11),0)</f>
        <v>789347</v>
      </c>
      <c r="F12" s="406">
        <f>IFERROR(SUM(C$12:E$12)+C$17*MAX(0,E$50-C$50)+D$17*MAX(0,E$50-D$50),0)</f>
        <v>2571889</v>
      </c>
      <c r="G12" s="453"/>
      <c r="H12" s="405">
        <f>SUM(H$6:H$7)+IF(AND(OR('Company Information'!$C$12="District of Columbia",'Company Information'!$C$12="Massachusetts",'Company Information'!$C$12="Vermont"),SUM($H$6:$K$11,$H$15:$K$16,$H$38:$I$38)&lt;&gt;0),SUM(C$6:C$7),0)</f>
        <v>-11</v>
      </c>
      <c r="I12" s="406">
        <f>SUM(I$6:I$7) - SUM(I$10:I$11)+IF(AND(OR('Company Information'!$C$12="District of Columbia",'Company Information'!$C$12="Massachusetts",'Company Information'!$C$12="Vermont"),SUM($H$6:$K$11,$H$15:$K$16,$H$38:$I$38)&lt;&gt;0),SUM(D$6:D$7) - SUM(D$8:D$11),0)</f>
        <v>-5</v>
      </c>
      <c r="J12" s="406">
        <f>SUM(J$6:J$7)-SUM(J$10:J$11)+IF(AND(OR('Company Information'!$C$12="District of Columbia",'Company Information'!$C$12="Massachusetts",'Company Information'!$C$12="Vermont"),SUM($H$6:$K$11,$H$15:$K$16,$H$38:$I$38)&lt;&gt;0),SUM(E$6:E$7)-SUM(E$8:E$11),0)</f>
        <v>0</v>
      </c>
      <c r="K12" s="406">
        <f>IFERROR(SUM(H$12:J$12)+H$17*MAX(0,J$50-H$50)+I$17*MAX(0,J$50-I$50),0)</f>
        <v>-16</v>
      </c>
      <c r="L12" s="453"/>
      <c r="M12" s="405">
        <f>SUM(M$6:M$7)</f>
        <v>465300</v>
      </c>
      <c r="N12" s="406">
        <f>SUM(N$6:N$7)</f>
        <v>-14063</v>
      </c>
      <c r="O12" s="406">
        <f>SUM(O$6:O$7)</f>
        <v>-415</v>
      </c>
      <c r="P12" s="406">
        <f>SUM(M$12:O$12)+M$17*MAX(0,O$50-M$50)+N$17*MAX(0,O$50-N$50)</f>
        <v>450822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720444</v>
      </c>
      <c r="Z13" s="406">
        <f>1.25*SUM(Z$6:Z$7)</f>
        <v>0</v>
      </c>
      <c r="AA13" s="406">
        <f>SUM(AA$6:AA$7)</f>
        <v>0</v>
      </c>
      <c r="AB13" s="406">
        <f>SUM(AB$6:AB$7)+Y$17*MAX(0,AA$50-Y$50)+Z$17*MAX(0,AA$50-Z$50)</f>
        <v>480296</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1769687</v>
      </c>
      <c r="D15" s="409">
        <v>875435</v>
      </c>
      <c r="E15" s="401">
        <f>SUM('Pt 1 Summary of Data'!E$5:E$7)+SUM('Pt 1 Summary of Data'!G$5:G$7)-SUM('Pt 1 Summary of Data'!H$5:H$7)-SUM(E$9:E$11)</f>
        <v>526698</v>
      </c>
      <c r="F15" s="401">
        <f>SUM(C15:E15)</f>
        <v>3171820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951093</v>
      </c>
      <c r="N15" s="409">
        <v>-83</v>
      </c>
      <c r="O15" s="401">
        <f>SUM('Pt 1 Summary of Data'!Q$5:Q$7)+SUM('Pt 1 Summary of Data'!S$5:S$7)-SUM('Pt 1 Summary of Data'!T$5:T$7)+N$56</f>
        <v>0</v>
      </c>
      <c r="P15" s="401">
        <f>SUM(M15:O15)</f>
        <v>951010</v>
      </c>
      <c r="Q15" s="408">
        <v>0</v>
      </c>
      <c r="R15" s="409">
        <v>0</v>
      </c>
      <c r="S15" s="401">
        <f>SUM('Pt 1 Summary of Data'!V$5:V$7)+R$56</f>
        <v>0</v>
      </c>
      <c r="T15" s="401">
        <f>SUM(Q15:S15)</f>
        <v>0</v>
      </c>
      <c r="U15" s="408">
        <v>0</v>
      </c>
      <c r="V15" s="409">
        <v>0</v>
      </c>
      <c r="W15" s="401">
        <f>SUM('Pt 1 Summary of Data'!Y$5:Y$7)+V$56</f>
        <v>0</v>
      </c>
      <c r="X15" s="401">
        <f>SUM(U15:W15)</f>
        <v>0</v>
      </c>
      <c r="Y15" s="408">
        <v>979609</v>
      </c>
      <c r="Z15" s="409">
        <v>-64</v>
      </c>
      <c r="AA15" s="401">
        <f>SUM('Pt 1 Summary of Data'!AB$5:AB$7)+Z$56</f>
        <v>0</v>
      </c>
      <c r="AB15" s="401">
        <f>SUM(Y15:AA15)</f>
        <v>979545</v>
      </c>
      <c r="AC15" s="461"/>
      <c r="AD15" s="460"/>
      <c r="AE15" s="460"/>
      <c r="AF15" s="460"/>
      <c r="AG15" s="461"/>
      <c r="AH15" s="460"/>
      <c r="AI15" s="460"/>
      <c r="AJ15" s="460"/>
      <c r="AK15" s="408"/>
      <c r="AL15" s="409"/>
      <c r="AM15" s="401"/>
      <c r="AN15" s="437"/>
    </row>
    <row r="16" spans="1:40" x14ac:dyDescent="0.2">
      <c r="B16" s="421" t="s">
        <v>311</v>
      </c>
      <c r="C16" s="403">
        <v>280655</v>
      </c>
      <c r="D16" s="404">
        <v>43683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-173139</v>
      </c>
      <c r="F16" s="406">
        <f>SUM(C16:E16)</f>
        <v>151199</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100182</v>
      </c>
      <c r="N16" s="404">
        <v>-18021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2893</v>
      </c>
      <c r="P16" s="406">
        <f>SUM(M16:O16)</f>
        <v>85054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163807</v>
      </c>
      <c r="Z16" s="404">
        <v>-3736</v>
      </c>
      <c r="AA16" s="406">
        <f>SUM('Pt 1 Summary of Data'!AB$25:AB$28,'Pt 1 Summary of Data'!AB$30,'Pt 1 Summary of Data'!AB$34:AB$35)+IF('Company Information'!$C$15="No",IF(MAX('Pt 1 Summary of Data'!AB$31:AB$32)=0,MIN('Pt 1 Summary of Data'!AB$31:AB$32),MAX('Pt 1 Summary of Data'!AB$31:AB$32)),SUM('Pt 1 Summary of Data'!AB$31:AB$32))+Z$57</f>
        <v>967</v>
      </c>
      <c r="AB16" s="406">
        <f>SUM(Y16:AA16)</f>
        <v>161038</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1489032</v>
      </c>
      <c r="D17" s="406">
        <f>D$15-D$16+IF(AND(OR('Company Information'!$C$12="District of Columbia",'Company Information'!$C$12="Massachusetts",'Company Information'!$C$12="Vermont"),SUM($C$6:$F$11,$C$15:$F$16,$C$38:$D$38)&lt;&gt;0),I$15-I$16,0)</f>
        <v>831752</v>
      </c>
      <c r="E17" s="406">
        <f>E$15-E$16+IF(AND(OR('Company Information'!$C$12="District of Columbia",'Company Information'!$C$12="Massachusetts",'Company Information'!$C$12="Vermont"),SUM($C$6:$F$11,$C$15:$F$16,$C$38:$D$38)&lt;&gt;0),J$15-J$16,0)</f>
        <v>699837</v>
      </c>
      <c r="F17" s="406">
        <f>F$15-F$16+IF(AND(OR('Company Information'!$C$12="District of Columbia",'Company Information'!$C$12="Massachusetts",'Company Information'!$C$12="Vermont"),SUM($C$6:$F$11,$C$15:$F$16,$C$38:$D$38)&lt;&gt;0),K$15-K$16,0)</f>
        <v>3020621</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850911</v>
      </c>
      <c r="N17" s="406">
        <f>N$15-N$16</f>
        <v>17938</v>
      </c>
      <c r="O17" s="406">
        <f>O$15-O$16</f>
        <v>-2893</v>
      </c>
      <c r="P17" s="406">
        <f>P$15-P$16</f>
        <v>865956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815802</v>
      </c>
      <c r="Z17" s="406">
        <f>Z$15-Z$16</f>
        <v>3672</v>
      </c>
      <c r="AA17" s="406">
        <f>AA$15-AA$16</f>
        <v>-967</v>
      </c>
      <c r="AB17" s="406">
        <f>AB$15-AB$16</f>
        <v>818507</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545.66669999999999</v>
      </c>
      <c r="D38" s="411">
        <v>262.25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174.25</v>
      </c>
      <c r="F38" s="438">
        <f>SUM(C$38:E$38)+IF(AND(OR('Company Information'!$C$12="District of Columbia",'Company Information'!$C$12="Massachusetts",'Company Information'!$C$12="Vermont"),SUM($C$6:$F$11,$C$15:$F$16,$C$38:$D$38)&lt;&gt;0,SUM(C$38:D$38)&lt;&gt;SUM(H$38:I$38)),SUM(H$38:I$38),0)</f>
        <v>982.16669999999999</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235.91669999999999</v>
      </c>
      <c r="N38" s="411">
        <v>0</v>
      </c>
      <c r="O38" s="438">
        <f>('Pt 1 Summary of Data'!Q$59+'Pt 1 Summary of Data'!S$59-'Pt 1 Summary of Data'!T$59)/12</f>
        <v>0</v>
      </c>
      <c r="P38" s="438">
        <f>SUM(M$38:O$38)</f>
        <v>235.91669999999999</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925.08330000000001</v>
      </c>
      <c r="Z38" s="411">
        <v>0</v>
      </c>
      <c r="AA38" s="438">
        <f>'Pt 1 Summary of Data'!AB$59/12</f>
        <v>0</v>
      </c>
      <c r="AB38" s="438">
        <f>SUM(Y$38:AA$38)</f>
        <v>925.08330000000001</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91</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