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15" i="10" l="1"/>
  <c r="P17" i="10" s="1"/>
  <c r="O17" i="10"/>
  <c r="O44" i="10" s="1"/>
  <c r="P37" i="10"/>
  <c r="T6" i="10"/>
  <c r="E15" i="10"/>
  <c r="G25" i="10"/>
  <c r="J15" i="10"/>
  <c r="K37" i="10"/>
  <c r="X37" i="10"/>
  <c r="AA13" i="10"/>
  <c r="AB6" i="10"/>
  <c r="L25" i="10"/>
  <c r="K6" i="10"/>
  <c r="L20" i="10"/>
  <c r="L19" i="10"/>
  <c r="L24" i="10" s="1"/>
  <c r="L23" i="10" s="1"/>
  <c r="AB37" i="10"/>
  <c r="L29" i="10"/>
  <c r="L21" i="10"/>
  <c r="AB13" i="10"/>
  <c r="X6" i="10"/>
  <c r="T15" i="10"/>
  <c r="T37" i="10"/>
  <c r="F37" i="10"/>
  <c r="E6" i="10"/>
  <c r="O6" i="10"/>
  <c r="J7" i="10"/>
  <c r="K7" i="10" s="1"/>
  <c r="S7" i="10"/>
  <c r="T7" i="10" s="1"/>
  <c r="AA15" i="10"/>
  <c r="E7" i="10"/>
  <c r="F7" i="10" s="1"/>
  <c r="O7" i="10"/>
  <c r="P7" i="10" s="1"/>
  <c r="W15" i="10"/>
  <c r="G7" i="10"/>
  <c r="G20" i="10" s="1"/>
  <c r="L28" i="10"/>
  <c r="U13" i="10" l="1"/>
  <c r="V13" i="10"/>
  <c r="S17" i="10"/>
  <c r="S45" i="10" s="1"/>
  <c r="R13" i="10"/>
  <c r="U17" i="10"/>
  <c r="L27" i="10"/>
  <c r="G28" i="10"/>
  <c r="G29" i="10"/>
  <c r="Q13" i="10"/>
  <c r="K51" i="10"/>
  <c r="R17" i="10"/>
  <c r="R45" i="10" s="1"/>
  <c r="P51" i="10"/>
  <c r="P38" i="10"/>
  <c r="P41" i="10" s="1"/>
  <c r="P46" i="10" s="1"/>
  <c r="G19" i="10"/>
  <c r="G24" i="10" s="1"/>
  <c r="G23" i="10" s="1"/>
  <c r="G27" i="10" s="1"/>
  <c r="W17" i="10"/>
  <c r="W45" i="10" s="1"/>
  <c r="X15" i="10"/>
  <c r="X17" i="10" s="1"/>
  <c r="F51" i="10"/>
  <c r="F52" i="10" s="1"/>
  <c r="C11" i="16" s="1"/>
  <c r="F46" i="10"/>
  <c r="F41" i="10"/>
  <c r="Q17" i="10"/>
  <c r="T17" i="10"/>
  <c r="T45" i="10" s="1"/>
  <c r="T47" i="10" s="1"/>
  <c r="T50" i="10" s="1"/>
  <c r="O12" i="10"/>
  <c r="P12" i="10" s="1"/>
  <c r="P44" i="10" s="1"/>
  <c r="P47" i="10" s="1"/>
  <c r="P50" i="10" s="1"/>
  <c r="P6" i="10"/>
  <c r="T51" i="10"/>
  <c r="T52" i="10" s="1"/>
  <c r="F11" i="16" s="1"/>
  <c r="T46" i="10"/>
  <c r="T38" i="10"/>
  <c r="T41" i="10"/>
  <c r="AA17" i="10"/>
  <c r="AA45" i="10" s="1"/>
  <c r="AB15" i="10"/>
  <c r="AB17" i="10" s="1"/>
  <c r="D17" i="10"/>
  <c r="D44" i="10" s="1"/>
  <c r="F6" i="10"/>
  <c r="C17" i="10" s="1"/>
  <c r="V17" i="10"/>
  <c r="V45" i="10" s="1"/>
  <c r="AB45" i="10"/>
  <c r="AB47" i="10" s="1"/>
  <c r="AB50" i="10" s="1"/>
  <c r="AB41" i="10"/>
  <c r="AB51" i="10"/>
  <c r="AB52" i="10" s="1"/>
  <c r="H11" i="16" s="1"/>
  <c r="AB46" i="10"/>
  <c r="AB38" i="10"/>
  <c r="X41" i="10"/>
  <c r="X51" i="10"/>
  <c r="X52" i="10" s="1"/>
  <c r="G11" i="16" s="1"/>
  <c r="X46" i="10"/>
  <c r="X38" i="10"/>
  <c r="X45" i="10"/>
  <c r="X47" i="10" s="1"/>
  <c r="X50" i="10" s="1"/>
  <c r="K15" i="10"/>
  <c r="H12" i="10" s="1"/>
  <c r="G21" i="10"/>
  <c r="F15" i="10"/>
  <c r="F17" i="10" s="1"/>
  <c r="F44" i="10" s="1"/>
  <c r="F47" i="10" s="1"/>
  <c r="F50" i="10" s="1"/>
  <c r="E17" i="10"/>
  <c r="E44" i="10" s="1"/>
  <c r="S13" i="10"/>
  <c r="C44" i="10" l="1"/>
  <c r="F38" i="10" s="1"/>
  <c r="G26" i="10"/>
  <c r="G30" i="10" s="1"/>
  <c r="G31" i="10"/>
  <c r="G32" i="10" s="1"/>
  <c r="G33" i="10" s="1"/>
  <c r="E12" i="10"/>
  <c r="J12" i="10"/>
  <c r="D12" i="10"/>
  <c r="P52" i="10"/>
  <c r="E11" i="16" s="1"/>
  <c r="J17" i="10"/>
  <c r="J44" i="10" s="1"/>
  <c r="C12" i="10"/>
  <c r="F12" i="10" s="1"/>
  <c r="W13" i="10"/>
  <c r="L31" i="10"/>
  <c r="L32" i="10" s="1"/>
  <c r="L33" i="10" s="1"/>
  <c r="L26" i="10"/>
  <c r="L30" i="10" s="1"/>
  <c r="K17" i="10"/>
  <c r="I17" i="10"/>
  <c r="I44" i="10" s="1"/>
  <c r="Q45" i="10"/>
  <c r="T13" i="10"/>
  <c r="H17" i="10"/>
  <c r="U45" i="10"/>
  <c r="X13" i="10"/>
  <c r="I12" i="10"/>
  <c r="H44" i="10" l="1"/>
  <c r="K38" i="10" s="1"/>
  <c r="K41" i="10" s="1"/>
  <c r="K46" i="10" s="1"/>
  <c r="K12" i="10"/>
  <c r="K44" i="10"/>
  <c r="K47" i="10" l="1"/>
  <c r="K50" i="10" s="1"/>
  <c r="K52" i="10" s="1"/>
  <c r="D11" i="16" s="1"/>
</calcChain>
</file>

<file path=xl/sharedStrings.xml><?xml version="1.0" encoding="utf-8"?>
<sst xmlns="http://schemas.openxmlformats.org/spreadsheetml/2006/main" count="570" uniqueCount="510">
  <si>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</si>
  <si>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</si>
  <si>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</si>
  <si>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</si>
  <si>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</si>
  <si>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</si>
  <si>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</si>
  <si>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</si>
  <si>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</si>
  <si>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</si>
  <si>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</si>
  <si>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</si>
  <si>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</si>
  <si>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</si>
  <si>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</si>
  <si>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</si>
  <si>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</si>
  <si>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</si>
  <si>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</si>
  <si>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</si>
  <si>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</si>
  <si>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</si>
  <si>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</si>
  <si>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</si>
  <si>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</si>
  <si>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</si>
  <si>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</si>
  <si>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</si>
  <si>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</si>
  <si>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</si>
  <si>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</si>
  <si>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</si>
  <si>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</si>
  <si>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</si>
  <si>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</si>
  <si>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</si>
  <si>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</si>
  <si>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</si>
  <si>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</si>
  <si>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</si>
  <si>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</si>
  <si>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</si>
  <si>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</si>
  <si>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</si>
  <si>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</si>
  <si>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</si>
  <si>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</si>
  <si>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</si>
  <si>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</si>
  <si>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</si>
  <si>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</si>
  <si>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</si>
  <si>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</si>
  <si>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</si>
  <si>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</si>
  <si>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</si>
  <si>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</si>
  <si>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</si>
  <si>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</si>
  <si>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</si>
  <si>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</si>
  <si>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</si>
  <si>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</si>
  <si>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</si>
  <si>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</si>
  <si>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</si>
  <si>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</si>
  <si>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</si>
  <si>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</si>
  <si>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</si>
  <si>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</si>
  <si>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</si>
  <si>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</si>
  <si>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</si>
  <si>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</si>
  <si>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</si>
  <si>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</si>
  <si>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</si>
  <si>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</si>
  <si>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</si>
  <si>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</si>
  <si>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</si>
  <si>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</si>
  <si>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</si>
  <si>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</si>
  <si>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</si>
  <si>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</si>
  <si>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</si>
  <si>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</si>
  <si>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</si>
  <si>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</si>
  <si>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</si>
  <si>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</si>
  <si>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</si>
  <si>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</si>
  <si>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</si>
  <si>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</si>
  <si>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</si>
  <si>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</si>
  <si>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</si>
  <si>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</si>
  <si>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</si>
  <si>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</si>
  <si>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</si>
  <si>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</si>
  <si>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</si>
  <si>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</si>
  <si>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</si>
  <si>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</si>
  <si>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</si>
  <si>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</si>
  <si>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</si>
  <si>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</si>
  <si>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</si>
  <si>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</si>
  <si>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</si>
  <si>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</si>
  <si>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</si>
  <si>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</si>
  <si>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</si>
  <si>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</si>
  <si>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</si>
  <si>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</si>
  <si>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</si>
  <si>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</si>
  <si>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</si>
  <si>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</si>
  <si>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</si>
  <si>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</si>
  <si>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</si>
  <si>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</si>
  <si>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</si>
  <si>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</si>
  <si>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</si>
  <si>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</si>
  <si>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</si>
  <si>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</si>
  <si>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</si>
  <si>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</si>
  <si>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</si>
  <si>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</si>
  <si>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</si>
  <si>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</si>
  <si>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</si>
  <si>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</si>
  <si>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</si>
  <si>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</si>
  <si>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</si>
  <si>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</si>
  <si>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</si>
  <si>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</si>
  <si>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</si>
  <si>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</si>
  <si>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</si>
  <si>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</si>
  <si>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</si>
  <si>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</si>
  <si>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</si>
  <si>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</si>
  <si>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</si>
  <si>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</si>
  <si>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</si>
  <si>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</si>
  <si>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</si>
  <si>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</si>
  <si>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</si>
  <si>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</si>
  <si>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</si>
  <si>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</si>
  <si>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</si>
  <si>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</si>
  <si>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</si>
  <si>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</si>
  <si>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</si>
  <si>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</si>
  <si>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</si>
  <si>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</si>
  <si>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</si>
  <si>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</si>
  <si>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</si>
  <si>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</si>
  <si>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</si>
  <si>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</si>
  <si>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</si>
  <si>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</si>
  <si>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</si>
  <si>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</si>
  <si>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</si>
  <si>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</si>
  <si>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</si>
  <si>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</si>
  <si>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</si>
  <si>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</si>
  <si>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</si>
  <si>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</si>
  <si>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</si>
  <si>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</si>
  <si>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</si>
  <si>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</si>
  <si>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</si>
  <si>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</si>
  <si>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</si>
  <si>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</si>
  <si>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</si>
  <si>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</si>
  <si>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</si>
  <si>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</si>
  <si>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</si>
  <si>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</si>
  <si>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</si>
  <si>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</si>
  <si>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</si>
  <si>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</si>
  <si>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</si>
  <si>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</si>
  <si>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</si>
  <si>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</si>
  <si>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</si>
  <si>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</si>
  <si>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</si>
  <si>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</si>
  <si>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</si>
  <si>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</si>
  <si>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</si>
  <si>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</si>
  <si>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</si>
  <si>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</si>
  <si>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</si>
  <si>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</si>
  <si>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</si>
  <si>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</si>
  <si>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</si>
  <si>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</si>
  <si>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</si>
  <si>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</si>
  <si>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</si>
  <si>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</si>
  <si>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</si>
  <si>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</si>
  <si>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</si>
  <si>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</si>
  <si>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</si>
  <si>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</si>
  <si>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</si>
  <si>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</si>
  <si>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</si>
  <si>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</si>
  <si>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</si>
  <si>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</si>
  <si>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</si>
  <si>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</si>
  <si>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</si>
  <si>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</si>
  <si>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</si>
  <si>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</si>
  <si>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</si>
  <si>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</si>
  <si>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</si>
  <si>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</si>
  <si>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</si>
  <si>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</si>
  <si>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</si>
  <si>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</si>
  <si>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</si>
  <si>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</si>
  <si>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</si>
  <si>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</si>
  <si>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</si>
  <si>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</si>
  <si>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</si>
  <si>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</si>
  <si>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</si>
  <si>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</si>
  <si>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</si>
  <si>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</si>
  <si>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</si>
  <si>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</si>
  <si>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</si>
  <si>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</si>
  <si>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</si>
  <si>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</si>
  <si>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</si>
  <si>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</si>
  <si>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</si>
  <si>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</si>
  <si>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</si>
  <si>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</si>
  <si>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</si>
  <si>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</si>
  <si>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</si>
  <si>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</si>
  <si>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</si>
  <si>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</si>
  <si>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</si>
  <si>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</si>
  <si>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</si>
  <si>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</si>
  <si>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</si>
  <si>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</si>
  <si>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</si>
  <si>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</si>
  <si>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</si>
  <si>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</si>
  <si>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</si>
  <si>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</si>
  <si>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</si>
  <si>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</si>
  <si>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</si>
  <si>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</si>
  <si>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</si>
  <si>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</si>
  <si>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</si>
  <si>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</si>
  <si>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</si>
  <si>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</si>
  <si>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</si>
  <si>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</si>
  <si>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</si>
  <si>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</si>
  <si>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</si>
  <si>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</si>
  <si>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</si>
  <si>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</si>
  <si>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</si>
  <si>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</si>
  <si>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</si>
  <si>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</si>
  <si>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</si>
  <si>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</si>
  <si>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</si>
  <si>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</si>
  <si>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</si>
  <si>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</si>
  <si>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</si>
  <si>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</si>
  <si>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</si>
  <si>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</si>
  <si>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</si>
  <si>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</si>
  <si>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</si>
  <si>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</si>
  <si>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</si>
  <si>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</si>
  <si>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</si>
  <si>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</si>
  <si>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</si>
  <si>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</si>
  <si>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</si>
  <si>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</si>
  <si>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</si>
  <si>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</si>
  <si>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</si>
  <si>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</si>
  <si>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</si>
  <si>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</si>
  <si>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</si>
  <si>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</si>
  <si>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</si>
  <si>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</si>
  <si>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</si>
  <si>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</si>
  <si>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</si>
  <si>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</si>
  <si>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</si>
  <si>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</si>
  <si>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</si>
  <si>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</si>
  <si>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</si>
  <si>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</si>
  <si>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</si>
  <si>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</si>
  <si>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</si>
  <si>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</si>
  <si>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</si>
  <si>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</si>
  <si>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</si>
  <si>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</si>
  <si>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</si>
  <si>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</si>
  <si>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</si>
  <si>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</si>
  <si>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</si>
  <si>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</si>
  <si>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</si>
  <si>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</si>
  <si>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</si>
  <si>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</si>
  <si>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</si>
  <si>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</si>
  <si>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</si>
  <si>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</si>
  <si>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</si>
  <si>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</si>
  <si>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</si>
  <si>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</si>
  <si>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</si>
  <si>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</si>
  <si>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</si>
  <si>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</si>
  <si>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</si>
  <si>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</si>
  <si>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</si>
  <si>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</si>
  <si>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</si>
  <si>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</si>
  <si>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</si>
  <si>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</si>
  <si>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</si>
  <si>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</si>
  <si>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</si>
  <si>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</si>
  <si>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</si>
  <si>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</si>
  <si>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</si>
  <si>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</si>
  <si>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</si>
  <si>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</si>
  <si>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</si>
  <si>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</si>
  <si>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</si>
  <si>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</si>
  <si>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</si>
  <si>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</si>
  <si>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</si>
  <si>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</si>
  <si>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</si>
  <si>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</si>
  <si>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</si>
  <si>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</si>
  <si>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</si>
  <si>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</si>
  <si>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</si>
  <si>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</si>
  <si>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</si>
  <si>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</si>
  <si>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</si>
  <si>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</si>
  <si>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</si>
  <si>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</si>
  <si>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</si>
  <si>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</si>
  <si>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</si>
  <si>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</si>
  <si>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</si>
  <si>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</si>
  <si>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</si>
  <si>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</si>
  <si>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</si>
  <si>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</si>
  <si>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</si>
  <si>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</si>
  <si>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</si>
  <si>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</si>
  <si>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</si>
  <si>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</si>
  <si>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</si>
  <si>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</si>
  <si>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</si>
  <si>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</si>
  <si>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</si>
  <si>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</si>
  <si>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</si>
  <si>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</si>
  <si>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</si>
  <si>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</si>
  <si>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</si>
  <si>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</si>
  <si>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</si>
  <si>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</si>
  <si>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</si>
  <si>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</si>
  <si>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</si>
  <si>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</si>
  <si>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</si>
  <si>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</si>
  <si>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</si>
  <si>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</si>
  <si>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</si>
  <si>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</si>
  <si>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</si>
  <si>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</si>
  <si>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</si>
  <si>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</si>
  <si>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</si>
  <si>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</si>
  <si>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</si>
  <si>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</si>
  <si>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</si>
  <si>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</si>
  <si>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</si>
  <si>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</si>
  <si>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</si>
  <si>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</si>
  <si>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</si>
  <si>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</si>
  <si>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</si>
  <si>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</si>
  <si>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</si>
  <si>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</si>
  <si>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</si>
  <si>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</si>
  <si>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</si>
  <si>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</si>
  <si>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67612</t>
  </si>
  <si>
    <t>United States Virgin Islands</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</si>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</sst>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505</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504</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1156554</v>
      </c>
      <c r="K5" s="112">
        <f>'Pt 2 Premium and Claims'!K5+'Pt 2 Premium and Claims'!K6-'Pt 2 Premium and Claims'!K7-'Pt 2 Premium and Claims'!K13+'Pt 2 Premium and Claims'!K14+'Pt 2 Premium and Claims'!K15+'Pt 2 Premium and Claims'!K16+'Pt 2 Premium and Claims'!K17</f>
        <v>1223495</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-24730</v>
      </c>
      <c r="Q5" s="112">
        <f>'Pt 2 Premium and Claims'!Q5+'Pt 2 Premium and Claims'!Q6-'Pt 2 Premium and Claims'!Q7-'Pt 2 Premium and Claims'!Q13+'Pt 2 Premium and Claims'!Q14</f>
        <v>22509</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16734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9013</v>
      </c>
      <c r="K7" s="116">
        <f>J7</f>
        <v>9013</v>
      </c>
      <c r="L7" s="116"/>
      <c r="M7" s="116"/>
      <c r="N7" s="116"/>
      <c r="O7" s="115">
        <v>0</v>
      </c>
      <c r="P7" s="115">
        <v>34</v>
      </c>
      <c r="Q7" s="116">
        <f>P7</f>
        <v>34</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143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17653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1097819</v>
      </c>
      <c r="K12" s="112">
        <f>'Pt 2 Premium and Claims'!K54</f>
        <v>1045593</v>
      </c>
      <c r="L12" s="112"/>
      <c r="M12" s="112"/>
      <c r="N12" s="112"/>
      <c r="O12" s="111">
        <f>'Pt 2 Premium and Claims'!O54</f>
        <v>0</v>
      </c>
      <c r="P12" s="111">
        <f>'Pt 2 Premium and Claims'!P54</f>
        <v>172386</v>
      </c>
      <c r="Q12" s="112">
        <f>'Pt 2 Premium and Claims'!Q54</f>
        <v>-142258</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109</v>
      </c>
      <c r="AT12" s="113">
        <f>'Pt 2 Premium and Claims'!AT54</f>
        <v>42680</v>
      </c>
      <c r="AU12" s="113">
        <f>'Pt 2 Premium and Claims'!AU54</f>
        <v>0</v>
      </c>
      <c r="AV12" s="318"/>
      <c r="AW12" s="323"/>
    </row>
    <row r="13" spans="1:49" ht="25.5" x14ac:dyDescent="0.2">
      <c r="B13" s="161" t="s">
        <v>230</v>
      </c>
      <c r="C13" s="68" t="s">
        <v>37</v>
      </c>
      <c r="D13" s="115">
        <v>0</v>
      </c>
      <c r="E13" s="116">
        <v>0</v>
      </c>
      <c r="F13" s="116"/>
      <c r="G13" s="295"/>
      <c r="H13" s="296"/>
      <c r="I13" s="115">
        <v>0</v>
      </c>
      <c r="J13" s="115">
        <v>145225</v>
      </c>
      <c r="K13" s="116">
        <v>141042</v>
      </c>
      <c r="L13" s="116"/>
      <c r="M13" s="295"/>
      <c r="N13" s="296"/>
      <c r="O13" s="115">
        <v>0</v>
      </c>
      <c r="P13" s="115">
        <v>3797</v>
      </c>
      <c r="Q13" s="116">
        <v>1083</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109</v>
      </c>
      <c r="AT13" s="119">
        <v>0</v>
      </c>
      <c r="AU13" s="119">
        <v>0</v>
      </c>
      <c r="AV13" s="317"/>
      <c r="AW13" s="324"/>
    </row>
    <row r="14" spans="1:49" ht="25.5" x14ac:dyDescent="0.2">
      <c r="B14" s="161" t="s">
        <v>231</v>
      </c>
      <c r="C14" s="68" t="s">
        <v>6</v>
      </c>
      <c r="D14" s="115">
        <v>0</v>
      </c>
      <c r="E14" s="116">
        <v>0</v>
      </c>
      <c r="F14" s="116"/>
      <c r="G14" s="294"/>
      <c r="H14" s="297"/>
      <c r="I14" s="115">
        <v>0</v>
      </c>
      <c r="J14" s="115">
        <v>20443</v>
      </c>
      <c r="K14" s="116">
        <v>23473</v>
      </c>
      <c r="L14" s="116"/>
      <c r="M14" s="294"/>
      <c r="N14" s="297"/>
      <c r="O14" s="115">
        <v>0</v>
      </c>
      <c r="P14" s="115">
        <v>162</v>
      </c>
      <c r="Q14" s="116">
        <v>171344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3318</v>
      </c>
      <c r="AU14" s="119">
        <v>0</v>
      </c>
      <c r="AV14" s="317"/>
      <c r="AW14" s="324"/>
    </row>
    <row r="15" spans="1:49" ht="38.25" x14ac:dyDescent="0.2">
      <c r="B15" s="161" t="s">
        <v>232</v>
      </c>
      <c r="C15" s="68" t="s">
        <v>7</v>
      </c>
      <c r="D15" s="115">
        <v>0</v>
      </c>
      <c r="E15" s="116">
        <v>0</v>
      </c>
      <c r="F15" s="116"/>
      <c r="G15" s="294"/>
      <c r="H15" s="300"/>
      <c r="I15" s="115">
        <v>0</v>
      </c>
      <c r="J15" s="115">
        <v>1960</v>
      </c>
      <c r="K15" s="116">
        <v>119</v>
      </c>
      <c r="L15" s="116"/>
      <c r="M15" s="294"/>
      <c r="N15" s="300"/>
      <c r="O15" s="115">
        <v>0</v>
      </c>
      <c r="P15" s="115">
        <v>-144</v>
      </c>
      <c r="Q15" s="116">
        <v>113</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927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2227</v>
      </c>
      <c r="K25" s="116">
        <f>J25</f>
        <v>2227</v>
      </c>
      <c r="L25" s="116"/>
      <c r="M25" s="116"/>
      <c r="N25" s="116"/>
      <c r="O25" s="115">
        <v>0</v>
      </c>
      <c r="P25" s="115">
        <v>36329</v>
      </c>
      <c r="Q25" s="116">
        <f>P25</f>
        <v>36329</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20</v>
      </c>
      <c r="AT25" s="119">
        <v>2689</v>
      </c>
      <c r="AU25" s="119">
        <v>0</v>
      </c>
      <c r="AV25" s="119">
        <v>14586</v>
      </c>
      <c r="AW25" s="324"/>
    </row>
    <row r="26" spans="1:49" s="11" customFormat="1" x14ac:dyDescent="0.2">
      <c r="A26" s="41"/>
      <c r="B26" s="164" t="s">
        <v>243</v>
      </c>
      <c r="C26" s="68"/>
      <c r="D26" s="115">
        <v>0</v>
      </c>
      <c r="E26" s="116">
        <f>D26</f>
        <v>0</v>
      </c>
      <c r="F26" s="116"/>
      <c r="G26" s="116"/>
      <c r="H26" s="116"/>
      <c r="I26" s="115">
        <v>0</v>
      </c>
      <c r="J26" s="115">
        <v>413</v>
      </c>
      <c r="K26" s="116">
        <f>J26</f>
        <v>413</v>
      </c>
      <c r="L26" s="116"/>
      <c r="M26" s="116"/>
      <c r="N26" s="116"/>
      <c r="O26" s="115">
        <v>0</v>
      </c>
      <c r="P26" s="115">
        <v>9</v>
      </c>
      <c r="Q26" s="116">
        <f>P26</f>
        <v>9</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10770</v>
      </c>
      <c r="K27" s="116">
        <f>J27</f>
        <v>10770</v>
      </c>
      <c r="L27" s="116"/>
      <c r="M27" s="116"/>
      <c r="N27" s="116"/>
      <c r="O27" s="115">
        <v>0</v>
      </c>
      <c r="P27" s="115">
        <v>194</v>
      </c>
      <c r="Q27" s="116">
        <f>P27</f>
        <v>194</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263</v>
      </c>
      <c r="AU27" s="119">
        <v>0</v>
      </c>
      <c r="AV27" s="320"/>
      <c r="AW27" s="324"/>
    </row>
    <row r="28" spans="1:49" s="11" customFormat="1" x14ac:dyDescent="0.2">
      <c r="A28" s="41"/>
      <c r="B28" s="164" t="s">
        <v>245</v>
      </c>
      <c r="C28" s="68"/>
      <c r="D28" s="115">
        <v>0</v>
      </c>
      <c r="E28" s="116">
        <f>D28</f>
        <v>0</v>
      </c>
      <c r="F28" s="116"/>
      <c r="G28" s="116"/>
      <c r="H28" s="116"/>
      <c r="I28" s="115">
        <v>0</v>
      </c>
      <c r="J28" s="115">
        <v>940</v>
      </c>
      <c r="K28" s="116">
        <f>J28</f>
        <v>940</v>
      </c>
      <c r="L28" s="116"/>
      <c r="M28" s="116"/>
      <c r="N28" s="116"/>
      <c r="O28" s="115">
        <v>0</v>
      </c>
      <c r="P28" s="115">
        <v>17</v>
      </c>
      <c r="Q28" s="116">
        <f>P28</f>
        <v>17</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84</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3631</v>
      </c>
      <c r="K30" s="116">
        <f>J30</f>
        <v>3631</v>
      </c>
      <c r="L30" s="116"/>
      <c r="M30" s="116"/>
      <c r="N30" s="116"/>
      <c r="O30" s="115">
        <v>0</v>
      </c>
      <c r="P30" s="115">
        <v>14</v>
      </c>
      <c r="Q30" s="116">
        <f>P30</f>
        <v>14</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58</v>
      </c>
      <c r="AU30" s="119">
        <v>0</v>
      </c>
      <c r="AV30" s="119">
        <v>0</v>
      </c>
      <c r="AW30" s="324"/>
    </row>
    <row r="31" spans="1:49" x14ac:dyDescent="0.2">
      <c r="B31" s="164" t="s">
        <v>248</v>
      </c>
      <c r="C31" s="68"/>
      <c r="D31" s="115">
        <v>0</v>
      </c>
      <c r="E31" s="116">
        <f>D31</f>
        <v>0</v>
      </c>
      <c r="F31" s="116"/>
      <c r="G31" s="116"/>
      <c r="H31" s="116"/>
      <c r="I31" s="115">
        <v>0</v>
      </c>
      <c r="J31" s="115">
        <v>21984</v>
      </c>
      <c r="K31" s="116">
        <f>J31</f>
        <v>21984</v>
      </c>
      <c r="L31" s="116"/>
      <c r="M31" s="116"/>
      <c r="N31" s="116"/>
      <c r="O31" s="115">
        <v>0</v>
      </c>
      <c r="P31" s="115">
        <v>82</v>
      </c>
      <c r="Q31" s="116">
        <f>P31</f>
        <v>82</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349</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294</v>
      </c>
      <c r="K34" s="116">
        <f>J34</f>
        <v>294</v>
      </c>
      <c r="L34" s="116"/>
      <c r="M34" s="116"/>
      <c r="N34" s="116"/>
      <c r="O34" s="115">
        <v>0</v>
      </c>
      <c r="P34" s="115">
        <v>70</v>
      </c>
      <c r="Q34" s="116">
        <f>P34</f>
        <v>70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391</v>
      </c>
      <c r="K37" s="124">
        <v>391</v>
      </c>
      <c r="L37" s="124"/>
      <c r="M37" s="124"/>
      <c r="N37" s="124"/>
      <c r="O37" s="123">
        <v>0</v>
      </c>
      <c r="P37" s="123">
        <v>4</v>
      </c>
      <c r="Q37" s="124">
        <v>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122</v>
      </c>
      <c r="K38" s="116">
        <v>122</v>
      </c>
      <c r="L38" s="116"/>
      <c r="M38" s="116"/>
      <c r="N38" s="116"/>
      <c r="O38" s="115">
        <v>0</v>
      </c>
      <c r="P38" s="115">
        <v>0</v>
      </c>
      <c r="Q38" s="116">
        <v>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354</v>
      </c>
      <c r="K39" s="116">
        <v>176</v>
      </c>
      <c r="L39" s="116"/>
      <c r="M39" s="116"/>
      <c r="N39" s="116"/>
      <c r="O39" s="115">
        <v>0</v>
      </c>
      <c r="P39" s="115">
        <v>-88</v>
      </c>
      <c r="Q39" s="116">
        <v>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237</v>
      </c>
      <c r="K40" s="116">
        <v>237</v>
      </c>
      <c r="L40" s="116"/>
      <c r="M40" s="116"/>
      <c r="N40" s="116"/>
      <c r="O40" s="115">
        <v>0</v>
      </c>
      <c r="P40" s="115">
        <v>4</v>
      </c>
      <c r="Q40" s="116">
        <v>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219</v>
      </c>
      <c r="K41" s="116">
        <v>219</v>
      </c>
      <c r="L41" s="116"/>
      <c r="M41" s="116"/>
      <c r="N41" s="116"/>
      <c r="O41" s="115">
        <v>0</v>
      </c>
      <c r="P41" s="115">
        <v>4</v>
      </c>
      <c r="Q41" s="116">
        <v>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27</v>
      </c>
      <c r="K42" s="116">
        <f>J42</f>
        <v>27</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2937</v>
      </c>
      <c r="K44" s="124">
        <v>2811</v>
      </c>
      <c r="L44" s="124"/>
      <c r="M44" s="124"/>
      <c r="N44" s="124"/>
      <c r="O44" s="123">
        <v>0</v>
      </c>
      <c r="P44" s="123">
        <v>-623</v>
      </c>
      <c r="Q44" s="124">
        <v>42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-849</v>
      </c>
      <c r="K45" s="116">
        <f>J45</f>
        <v>-849</v>
      </c>
      <c r="L45" s="116"/>
      <c r="M45" s="116"/>
      <c r="N45" s="116"/>
      <c r="O45" s="115">
        <v>0</v>
      </c>
      <c r="P45" s="115">
        <v>-15</v>
      </c>
      <c r="Q45" s="116">
        <f>P45</f>
        <v>-15</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-13</v>
      </c>
      <c r="AU45" s="119">
        <v>0</v>
      </c>
      <c r="AV45" s="119">
        <v>0</v>
      </c>
      <c r="AW45" s="324"/>
    </row>
    <row r="46" spans="1:49" x14ac:dyDescent="0.2">
      <c r="B46" s="167" t="s">
        <v>263</v>
      </c>
      <c r="C46" s="68" t="s">
        <v>20</v>
      </c>
      <c r="D46" s="115">
        <v>0</v>
      </c>
      <c r="E46" s="116">
        <f>D46</f>
        <v>0</v>
      </c>
      <c r="F46" s="116"/>
      <c r="G46" s="116"/>
      <c r="H46" s="116"/>
      <c r="I46" s="115">
        <v>0</v>
      </c>
      <c r="J46" s="115">
        <v>793</v>
      </c>
      <c r="K46" s="116">
        <f>J46</f>
        <v>793</v>
      </c>
      <c r="L46" s="116"/>
      <c r="M46" s="116"/>
      <c r="N46" s="116"/>
      <c r="O46" s="115">
        <v>0</v>
      </c>
      <c r="P46" s="115">
        <v>14</v>
      </c>
      <c r="Q46" s="116">
        <f>P46</f>
        <v>14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18</v>
      </c>
      <c r="AU46" s="119">
        <v>0</v>
      </c>
      <c r="AV46" s="119">
        <v>0</v>
      </c>
      <c r="AW46" s="324"/>
    </row>
    <row r="47" spans="1:49" x14ac:dyDescent="0.2">
      <c r="B47" s="167" t="s">
        <v>264</v>
      </c>
      <c r="C47" s="68" t="s">
        <v>21</v>
      </c>
      <c r="D47" s="115">
        <v>0</v>
      </c>
      <c r="E47" s="116">
        <f>D47</f>
        <v>0</v>
      </c>
      <c r="F47" s="116"/>
      <c r="G47" s="116"/>
      <c r="H47" s="116"/>
      <c r="I47" s="115">
        <v>0</v>
      </c>
      <c r="J47" s="115">
        <v>17768</v>
      </c>
      <c r="K47" s="116">
        <f>J47</f>
        <v>17768</v>
      </c>
      <c r="L47" s="116"/>
      <c r="M47" s="116"/>
      <c r="N47" s="116"/>
      <c r="O47" s="115">
        <v>0</v>
      </c>
      <c r="P47" s="115">
        <v>66</v>
      </c>
      <c r="Q47" s="116">
        <f>P47</f>
        <v>66</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282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30582</v>
      </c>
      <c r="K51" s="116">
        <f>J51</f>
        <v>30582</v>
      </c>
      <c r="L51" s="116"/>
      <c r="M51" s="116"/>
      <c r="N51" s="116"/>
      <c r="O51" s="115">
        <v>0</v>
      </c>
      <c r="P51" s="115">
        <v>550</v>
      </c>
      <c r="Q51" s="116">
        <f>P51</f>
        <v>550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4741</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60</v>
      </c>
      <c r="K53" s="116">
        <f>J53</f>
        <v>60</v>
      </c>
      <c r="L53" s="116"/>
      <c r="M53" s="295"/>
      <c r="N53" s="295"/>
      <c r="O53" s="115">
        <v>0</v>
      </c>
      <c r="P53" s="115">
        <v>1</v>
      </c>
      <c r="Q53" s="116">
        <f>P53</f>
        <v>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12</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-79173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2779</v>
      </c>
      <c r="K59" s="131">
        <v>2779</v>
      </c>
      <c r="L59" s="131"/>
      <c r="M59" s="131"/>
      <c r="N59" s="131"/>
      <c r="O59" s="130">
        <v>0</v>
      </c>
      <c r="P59" s="130">
        <v>50</v>
      </c>
      <c r="Q59" s="131">
        <v>50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1035</v>
      </c>
      <c r="AU59" s="132">
        <v>0</v>
      </c>
      <c r="AV59" s="132">
        <v>0</v>
      </c>
      <c r="AW59" s="316"/>
    </row>
    <row r="60" spans="2:49" x14ac:dyDescent="0.2">
      <c r="B60" s="167" t="s">
        <v>276</v>
      </c>
      <c r="C60" s="68"/>
      <c r="D60" s="133">
        <f>D59/12</f>
        <v>0</v>
      </c>
      <c r="E60" s="134">
        <f>E59/12</f>
        <v>0</v>
      </c>
      <c r="F60" s="134"/>
      <c r="G60" s="134"/>
      <c r="H60" s="134"/>
      <c r="I60" s="133">
        <f>I59/12</f>
        <v>0</v>
      </c>
      <c r="J60" s="133">
        <f>J59/12</f>
        <v>231.58333333333334</v>
      </c>
      <c r="K60" s="134">
        <f>K59/12</f>
        <v>231.58333333333334</v>
      </c>
      <c r="L60" s="134"/>
      <c r="M60" s="134"/>
      <c r="N60" s="134"/>
      <c r="O60" s="133">
        <f>O59/12</f>
        <v>0</v>
      </c>
      <c r="P60" s="133">
        <f>P59/12</f>
        <v>4.166666666666667</v>
      </c>
      <c r="Q60" s="134">
        <f>Q59/12</f>
        <v>4.166666666666667</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86.25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3650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1125054</v>
      </c>
      <c r="K5" s="124">
        <v>1133735</v>
      </c>
      <c r="L5" s="124"/>
      <c r="M5" s="124"/>
      <c r="N5" s="124"/>
      <c r="O5" s="123">
        <v>0</v>
      </c>
      <c r="P5" s="123">
        <v>-73414</v>
      </c>
      <c r="Q5" s="124">
        <v>-33340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11985</v>
      </c>
      <c r="AU5" s="125">
        <v>0</v>
      </c>
      <c r="AV5" s="318"/>
      <c r="AW5" s="323"/>
    </row>
    <row r="6" spans="2:49" x14ac:dyDescent="0.2">
      <c r="B6" s="182" t="s">
        <v>279</v>
      </c>
      <c r="C6" s="139" t="s">
        <v>8</v>
      </c>
      <c r="D6" s="115">
        <v>0</v>
      </c>
      <c r="E6" s="116">
        <f>D6</f>
        <v>0</v>
      </c>
      <c r="F6" s="116"/>
      <c r="G6" s="117"/>
      <c r="H6" s="117"/>
      <c r="I6" s="115">
        <v>0</v>
      </c>
      <c r="J6" s="115">
        <v>98469</v>
      </c>
      <c r="K6" s="116">
        <f>J6</f>
        <v>98469</v>
      </c>
      <c r="L6" s="116"/>
      <c r="M6" s="116"/>
      <c r="N6" s="116"/>
      <c r="O6" s="115">
        <v>0</v>
      </c>
      <c r="P6" s="115">
        <v>55849</v>
      </c>
      <c r="Q6" s="116">
        <v>55849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7303</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634</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20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66969</v>
      </c>
      <c r="K13" s="116">
        <v>8709</v>
      </c>
      <c r="L13" s="116"/>
      <c r="M13" s="116"/>
      <c r="N13" s="116"/>
      <c r="O13" s="115">
        <v>0</v>
      </c>
      <c r="P13" s="115">
        <v>6531</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2534</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1341216</v>
      </c>
      <c r="K23" s="294"/>
      <c r="L23" s="294"/>
      <c r="M23" s="294"/>
      <c r="N23" s="294"/>
      <c r="O23" s="298"/>
      <c r="P23" s="115">
        <v>96410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-186</v>
      </c>
      <c r="AT23" s="119">
        <v>42887</v>
      </c>
      <c r="AU23" s="119">
        <v>0</v>
      </c>
      <c r="AV23" s="317"/>
      <c r="AW23" s="324"/>
    </row>
    <row r="24" spans="2:49" ht="28.5" customHeight="1" x14ac:dyDescent="0.2">
      <c r="B24" s="184" t="s">
        <v>114</v>
      </c>
      <c r="C24" s="139"/>
      <c r="D24" s="299"/>
      <c r="E24" s="116">
        <v>0</v>
      </c>
      <c r="F24" s="116"/>
      <c r="G24" s="116"/>
      <c r="H24" s="116"/>
      <c r="I24" s="115">
        <v>0</v>
      </c>
      <c r="J24" s="299"/>
      <c r="K24" s="116">
        <v>947444</v>
      </c>
      <c r="L24" s="116"/>
      <c r="M24" s="116"/>
      <c r="N24" s="116"/>
      <c r="O24" s="115">
        <v>0</v>
      </c>
      <c r="P24" s="299"/>
      <c r="Q24" s="116">
        <v>-141670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147890</v>
      </c>
      <c r="K26" s="294"/>
      <c r="L26" s="294"/>
      <c r="M26" s="294"/>
      <c r="N26" s="294"/>
      <c r="O26" s="298"/>
      <c r="P26" s="115">
        <v>-2195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1118</v>
      </c>
      <c r="AU26" s="119">
        <v>0</v>
      </c>
      <c r="AV26" s="317"/>
      <c r="AW26" s="324"/>
    </row>
    <row r="27" spans="2:49" s="11" customFormat="1" ht="25.5" x14ac:dyDescent="0.2">
      <c r="B27" s="184" t="s">
        <v>85</v>
      </c>
      <c r="C27" s="139"/>
      <c r="D27" s="299"/>
      <c r="E27" s="116">
        <v>0</v>
      </c>
      <c r="F27" s="116"/>
      <c r="G27" s="116"/>
      <c r="H27" s="116"/>
      <c r="I27" s="115">
        <v>0</v>
      </c>
      <c r="J27" s="299"/>
      <c r="K27" s="116">
        <v>103444</v>
      </c>
      <c r="L27" s="116"/>
      <c r="M27" s="116"/>
      <c r="N27" s="116"/>
      <c r="O27" s="115">
        <v>0</v>
      </c>
      <c r="P27" s="299"/>
      <c r="Q27" s="116">
        <v>-2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401508</v>
      </c>
      <c r="K28" s="295"/>
      <c r="L28" s="295"/>
      <c r="M28" s="295"/>
      <c r="N28" s="295"/>
      <c r="O28" s="299"/>
      <c r="P28" s="115">
        <v>90376</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1289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17251</v>
      </c>
      <c r="K30" s="294"/>
      <c r="L30" s="294"/>
      <c r="M30" s="294"/>
      <c r="N30" s="294"/>
      <c r="O30" s="298"/>
      <c r="P30" s="115">
        <v>64</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12195</v>
      </c>
      <c r="K32" s="295"/>
      <c r="L32" s="295"/>
      <c r="M32" s="295"/>
      <c r="N32" s="295"/>
      <c r="O32" s="299"/>
      <c r="P32" s="115">
        <v>2991</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541</v>
      </c>
      <c r="K34" s="294"/>
      <c r="L34" s="294"/>
      <c r="M34" s="294"/>
      <c r="N34" s="294"/>
      <c r="O34" s="298"/>
      <c r="P34" s="115">
        <v>-11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541</v>
      </c>
      <c r="L35" s="116"/>
      <c r="M35" s="116"/>
      <c r="N35" s="116"/>
      <c r="O35" s="115">
        <v>0</v>
      </c>
      <c r="P35" s="299"/>
      <c r="Q35" s="116">
        <f>P34</f>
        <v>-11</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2833</v>
      </c>
      <c r="K36" s="116">
        <f>J36</f>
        <v>2833</v>
      </c>
      <c r="L36" s="116"/>
      <c r="M36" s="116"/>
      <c r="N36" s="116"/>
      <c r="O36" s="115">
        <v>0</v>
      </c>
      <c r="P36" s="115">
        <v>625</v>
      </c>
      <c r="Q36" s="116">
        <f>P36</f>
        <v>625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1384</v>
      </c>
      <c r="K45" s="116">
        <v>39</v>
      </c>
      <c r="L45" s="116"/>
      <c r="M45" s="116"/>
      <c r="N45" s="116"/>
      <c r="O45" s="115">
        <v>0</v>
      </c>
      <c r="P45" s="115">
        <v>979</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4329</v>
      </c>
      <c r="K49" s="116">
        <v>3042</v>
      </c>
      <c r="L49" s="116"/>
      <c r="M49" s="116"/>
      <c r="N49" s="116"/>
      <c r="O49" s="115">
        <v>0</v>
      </c>
      <c r="P49" s="115">
        <v>-17</v>
      </c>
      <c r="Q49" s="116">
        <v>-50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10402</v>
      </c>
      <c r="K50" s="295"/>
      <c r="L50" s="295"/>
      <c r="M50" s="295"/>
      <c r="N50" s="295"/>
      <c r="O50" s="299"/>
      <c r="P50" s="115">
        <v>171114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295</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1097819</v>
      </c>
      <c r="K54" s="121">
        <f>K24+K27+K31+K35-K36+K39+K42+K45+K46-K49+K51+K52+K53</f>
        <v>1045593</v>
      </c>
      <c r="L54" s="121"/>
      <c r="M54" s="121"/>
      <c r="N54" s="121"/>
      <c r="O54" s="120">
        <f>O24+O27+O31+O35-O36+O39+O42+O45+O46-O49+O51+O52+O53</f>
        <v>0</v>
      </c>
      <c r="P54" s="120">
        <f>P23+P26-P28+P30-P32+P34-P36+P38+P41-P43+P45+P46-P47-P49+P50+P51+P52+P53</f>
        <v>172386</v>
      </c>
      <c r="Q54" s="121">
        <f>Q24+Q27+Q31+Q35-Q36+Q39+Q42+Q45+Q46-Q49+Q51+Q52+Q53</f>
        <v>-142258</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109</v>
      </c>
      <c r="AT54" s="122">
        <f>AT23+AT26-AT28+AT30-AT32+AT34-AT36+AT38+AT41-AT43+AT45+AT46-AT47-AT49+AT50+AT51+AT52+AT53</f>
        <v>42680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9722744.0700000003</v>
      </c>
      <c r="I5" s="124">
        <v>5558209</v>
      </c>
      <c r="J5" s="352"/>
      <c r="K5" s="352"/>
      <c r="L5" s="318"/>
      <c r="M5" s="123">
        <v>137825063.53</v>
      </c>
      <c r="N5" s="124">
        <v>98721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9947550</v>
      </c>
      <c r="I6" s="116">
        <v>5483826</v>
      </c>
      <c r="J6" s="121">
        <f>'Pt 1 Summary of Data'!K12+'Pt 1 Summary of Data'!K22</f>
        <v>1045593</v>
      </c>
      <c r="K6" s="121">
        <f>SUM(H6:J6)</f>
        <v>16476969</v>
      </c>
      <c r="L6" s="122">
        <f>'Pt 1 Summary of Data'!O12+'Pt 1 Summary of Data'!O22</f>
        <v>0</v>
      </c>
      <c r="M6" s="115">
        <v>140581648</v>
      </c>
      <c r="N6" s="116">
        <v>87752</v>
      </c>
      <c r="O6" s="121">
        <f>'Pt 1 Summary of Data'!Q12+'Pt 1 Summary of Data'!Q22</f>
        <v>-142258</v>
      </c>
      <c r="P6" s="121">
        <f>SUM(M6:O6)</f>
        <v>140527142</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70999</v>
      </c>
      <c r="I7" s="116">
        <v>27419</v>
      </c>
      <c r="J7" s="121">
        <f>SUM('Pt 1 Summary of Data'!K37:K41)+MAX(0,MIN('Pt 1 Summary of Data'!K42,0.3%*('Pt 1 Summary of Data'!K5-SUM(J10:J11))))</f>
        <v>1172</v>
      </c>
      <c r="K7" s="121">
        <f>SUM(H7:J7)</f>
        <v>99590</v>
      </c>
      <c r="L7" s="122">
        <f>SUM('Pt 1 Summary of Data'!O37:O41)+MAX(0,MIN('Pt 1 Summary of Data'!O42,0.3%*('Pt 1 Summary of Data'!O5-L10)))</f>
        <v>0</v>
      </c>
      <c r="M7" s="115">
        <v>1274655</v>
      </c>
      <c r="N7" s="116">
        <v>9410</v>
      </c>
      <c r="O7" s="121">
        <f>SUM('Pt 1 Summary of Data'!Q37:Q41)+MAX(0,MIN('Pt 1 Summary of Data'!Q42,0.3%*('Pt 1 Summary of Data'!Q5)))</f>
        <v>21</v>
      </c>
      <c r="P7" s="121">
        <f>SUM(M7:O7)</f>
        <v>1284086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10018549</v>
      </c>
      <c r="I12" s="121">
        <f>SUM(I$6:I$7)+IF(AND(OR('Company Information'!$C$12="District of Columbia",'Company Information'!$C$12="Massachusetts",'Company Information'!$C$12="Vermont"),SUM($H$6:$K$11,$H$15:$K$16,$H$37:$I$37)&lt;&gt;0),SUM(D$6:D$7),0)</f>
        <v>5511245</v>
      </c>
      <c r="J12" s="121">
        <f>SUM(J$6:J$7)-SUM(J$10:J$11)+IF(AND(OR('Company Information'!$C$12="District of Columbia",'Company Information'!$C$12="Massachusetts",'Company Information'!$C$12="Vermont"),SUM($H$6:$K$11,$H$15:$K$16,$H$37:$I$37)&lt;&gt;0),SUM(E$6:E$7)-SUM(E$8:E$11),0)</f>
        <v>1046765</v>
      </c>
      <c r="K12" s="121">
        <f>IFERROR(SUM(H$12:J$12)+H$17*MAX(0,J$49-H$49)+I$17*MAX(0,J$49-I$49),0)</f>
        <v>16576559</v>
      </c>
      <c r="L12" s="317"/>
      <c r="M12" s="120">
        <f>SUM(M$6:M$7)</f>
        <v>141856303</v>
      </c>
      <c r="N12" s="121">
        <f>SUM(N$6:N$7)</f>
        <v>97162</v>
      </c>
      <c r="O12" s="121">
        <f>SUM(O$6:O$7)</f>
        <v>-142237</v>
      </c>
      <c r="P12" s="121">
        <f>SUM(M$12:O$12)+M$17*MAX(0,O$49-M$49)+N$17*MAX(0,O$49-N$49)</f>
        <v>141811228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11338123</v>
      </c>
      <c r="I15" s="124">
        <v>7283749</v>
      </c>
      <c r="J15" s="112">
        <f>SUM('Pt 1 Summary of Data'!K$5:K$7)+SUM('Pt 1 Summary of Data'!M$5:M$7)-SUM('Pt 1 Summary of Data'!N$5:N$7)-SUM(J$10:J$11)+I$55</f>
        <v>1266983</v>
      </c>
      <c r="K15" s="112">
        <f>SUM(H15:J15)</f>
        <v>19888855</v>
      </c>
      <c r="L15" s="113">
        <f>SUM('Pt 1 Summary of Data'!O5:O7)-L10</f>
        <v>0</v>
      </c>
      <c r="M15" s="123">
        <v>150503668</v>
      </c>
      <c r="N15" s="124">
        <v>1845223</v>
      </c>
      <c r="O15" s="112">
        <f>SUM('Pt 1 Summary of Data'!Q5:Q7)+N55</f>
        <v>23728</v>
      </c>
      <c r="P15" s="112">
        <f>SUM(M15:O15)</f>
        <v>152372619</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686512</v>
      </c>
      <c r="I16" s="116">
        <v>430946</v>
      </c>
      <c r="J16" s="121">
        <f>'Pt 1 Summary of Data'!K25+'Pt 1 Summary of Data'!K26+'Pt 1 Summary of Data'!K27+'Pt 1 Summary of Data'!K28+'Pt 1 Summary of Data'!K30+'Pt 1 Summary of Data'!K31+'Pt 1 Summary of Data'!K34+'Pt 1 Summary of Data'!K35+'Pt 3 MLR and Rebate Calculation'!I56</f>
        <v>54569</v>
      </c>
      <c r="K16" s="121">
        <f>SUM(H16:J16)</f>
        <v>1172027</v>
      </c>
      <c r="L16" s="122">
        <f>'Pt 1 Summary of Data'!O25+'Pt 1 Summary of Data'!O26+'Pt 1 Summary of Data'!O27+'Pt 1 Summary of Data'!O28+'Pt 1 Summary of Data'!O30+'Pt 1 Summary of Data'!O31+'Pt 1 Summary of Data'!O34+'Pt 1 Summary of Data'!O35</f>
        <v>0</v>
      </c>
      <c r="M16" s="115">
        <v>2331841</v>
      </c>
      <c r="N16" s="116">
        <v>-1178079</v>
      </c>
      <c r="O16" s="121">
        <f>'Pt 1 Summary of Data'!Q25+'Pt 1 Summary of Data'!Q26+'Pt 1 Summary of Data'!Q27+'Pt 1 Summary of Data'!Q28+'Pt 1 Summary of Data'!Q30+'Pt 1 Summary of Data'!Q31+'Pt 1 Summary of Data'!Q34+'Pt 1 Summary of Data'!Q35+'Pt 3 MLR and Rebate Calculation'!N56</f>
        <v>37207</v>
      </c>
      <c r="P16" s="121">
        <f>SUM(M16:O16)</f>
        <v>1190969</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10651611</v>
      </c>
      <c r="I17" s="121">
        <f>I$15-I$16+IF(AND(OR('Company Information'!$C$12="District of Columbia",'Company Information'!$C$12="Massachusetts",'Company Information'!$C$12="Vermont"),SUM($H$6:$K$11,$H$15:$K$16,$H$37:$I$37)&lt;&gt;0),D$15-D$16,0)</f>
        <v>6852803</v>
      </c>
      <c r="J17" s="121">
        <f>J$15-J$16+IF(AND(OR('Company Information'!$C$12="District of Columbia",'Company Information'!$C$12="Massachusetts",'Company Information'!$C$12="Vermont"),SUM($H$6:$K$11,$H$15:$K$16,$H$37:$I$37)&lt;&gt;0),E$15-E$16,0)</f>
        <v>1212414</v>
      </c>
      <c r="K17" s="121">
        <f>K$15-K$16+IF(AND(OR('Company Information'!$C$12="District of Columbia",'Company Information'!$C$12="Massachusetts",'Company Information'!$C$12="Vermont"),SUM($H$6:$K$11,$H$15:$K$16,$H$37:$I$37)&lt;&gt;0),F$15-F$16,0)</f>
        <v>18716828</v>
      </c>
      <c r="L17" s="320"/>
      <c r="M17" s="120">
        <f>M$15-M$16</f>
        <v>148171827</v>
      </c>
      <c r="N17" s="121">
        <f>N$15-N$16</f>
        <v>3023302</v>
      </c>
      <c r="O17" s="121">
        <f>O$15-O$16</f>
        <v>-13479</v>
      </c>
      <c r="P17" s="121">
        <f>P$15-P$16</f>
        <v>151181650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2290</v>
      </c>
      <c r="I37" s="128">
        <v>1420</v>
      </c>
      <c r="J37" s="262">
        <f>'Pt 1 Summary of Data'!K60</f>
        <v>231.58333333333334</v>
      </c>
      <c r="K37" s="262">
        <f>SUM(H37:J37)</f>
        <v>3941.5833333333335</v>
      </c>
      <c r="L37" s="318"/>
      <c r="M37" s="127">
        <v>40940</v>
      </c>
      <c r="N37" s="128">
        <v>489</v>
      </c>
      <c r="O37" s="262">
        <f>'Pt 1 Summary of Data'!Q60</f>
        <v>4.166666666666667</v>
      </c>
      <c r="P37" s="262">
        <f>SUM(M37:O37)</f>
        <v>41433.166666666664</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4.33505E-2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1.3370693333333334E-2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4.33505E-2</v>
      </c>
      <c r="L41" s="317"/>
      <c r="M41" s="298"/>
      <c r="N41" s="294"/>
      <c r="O41" s="294"/>
      <c r="P41" s="266">
        <f ca="1">IF(OR(P$37&lt;1000,P$37&gt;=75000),0,P$38*P$40)</f>
        <v>1.3370693333333334E-2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f>IF(OR(H$37&lt;1000,H$17&lt;=0),"",H$12/H$17)</f>
        <v>0.94056654904126713</v>
      </c>
      <c r="I44" s="266">
        <f>IF(OR(I$37&lt;1000,I$17&lt;=0),"",I$12/I$17)</f>
        <v>0.80423222439051578</v>
      </c>
      <c r="J44" s="266" t="str">
        <f>IF(OR(J$37&lt;1000,J$17&lt;=0),"",J$12/J$17)</f>
        <v/>
      </c>
      <c r="K44" s="266">
        <f>IF(OR(K$37&lt;1000,K$17&lt;=0),"",K$12/K$17)</f>
        <v>0.88565001505596996</v>
      </c>
      <c r="L44" s="317"/>
      <c r="M44" s="268">
        <f>IF(OR(M$37&lt;1000,M$17&lt;=0),"",M$12/M$17)</f>
        <v>0.95737702552591186</v>
      </c>
      <c r="N44" s="266" t="str">
        <f>IF(OR(N$37&lt;1000,N$17&lt;=0),"",N$12/N$17)</f>
        <v/>
      </c>
      <c r="O44" s="266" t="str">
        <f>IF(OR(O$37&lt;1000,O$17&lt;=0),"",O$12/O$17)</f>
        <v/>
      </c>
      <c r="P44" s="266">
        <f>IF(OR(P$37&lt;1000,P$17&lt;=0),"",P$12/P$17)</f>
        <v>0.93801878733298649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4.33505E-2</v>
      </c>
      <c r="L46" s="317"/>
      <c r="M46" s="298"/>
      <c r="N46" s="294"/>
      <c r="O46" s="294"/>
      <c r="P46" s="266">
        <f ca="1">IF(P37&lt;1000,0,P41)</f>
        <v>1.3370693333333334E-2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0.92900000000000005</v>
      </c>
      <c r="L47" s="317"/>
      <c r="M47" s="298"/>
      <c r="N47" s="294"/>
      <c r="O47" s="294"/>
      <c r="P47" s="266">
        <f ca="1">IF(P$44="","",ROUND(P$44+MAX(0,P$46),3))</f>
        <v>0.95099999999999996</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0.92900000000000005</v>
      </c>
      <c r="L50" s="317"/>
      <c r="M50" s="299"/>
      <c r="N50" s="295"/>
      <c r="O50" s="295"/>
      <c r="P50" s="266">
        <f ca="1">P47</f>
        <v>0.95099999999999996</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1212414</v>
      </c>
      <c r="L51" s="317"/>
      <c r="M51" s="298"/>
      <c r="N51" s="294"/>
      <c r="O51" s="294"/>
      <c r="P51" s="121">
        <f>IF(P37&lt;1000,"",MAX(0,O15-O16))</f>
        <v>0</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34475</v>
      </c>
      <c r="J55" s="294"/>
      <c r="K55" s="294"/>
      <c r="L55" s="317"/>
      <c r="M55" s="298"/>
      <c r="N55" s="116">
        <v>1185</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14310</v>
      </c>
      <c r="J56" s="294"/>
      <c r="K56" s="294"/>
      <c r="L56" s="317"/>
      <c r="M56" s="298"/>
      <c r="N56" s="116">
        <v>492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508</v>
      </c>
      <c r="D23" s="6"/>
      <c r="E23" s="6"/>
      <c r="F23" s="6"/>
      <c r="G23" s="6"/>
      <c r="H23" s="6"/>
      <c r="I23" s="6"/>
      <c r="J23" s="6"/>
      <c r="K23" s="5"/>
    </row>
    <row r="24" spans="2:12" s="11" customFormat="1" ht="100.15" customHeight="1" x14ac:dyDescent="0.2">
      <c r="B24" s="107" t="s">
        <v>213</v>
      </c>
      <c r="C24" s="1" t="s">
        <v>509</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506</v>
      </c>
      <c r="C50" s="222" t="s">
        <v>507</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