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6" i="10"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5" i="4"/>
  <c r="D60" i="4"/>
  <c r="D22" i="4"/>
  <c r="D5" i="4"/>
  <c r="AB6" i="10" l="1"/>
  <c r="AB13" i="10" s="1"/>
  <c r="AA13" i="10"/>
  <c r="F6" i="10"/>
  <c r="K15" i="10"/>
  <c r="T6" i="10"/>
  <c r="J6" i="10"/>
  <c r="G15" i="10"/>
  <c r="G7" i="10"/>
  <c r="G20" i="10" s="1"/>
  <c r="O7" i="10"/>
  <c r="P7" i="10" s="1"/>
  <c r="O45" i="10"/>
  <c r="P38" i="10"/>
  <c r="W7" i="10"/>
  <c r="X7" i="10" s="1"/>
  <c r="AB42" i="10"/>
  <c r="AB52" i="10"/>
  <c r="O6" i="10"/>
  <c r="W6" i="10"/>
  <c r="L15" i="10"/>
  <c r="E7" i="10"/>
  <c r="F7" i="10" s="1"/>
  <c r="L6" i="10"/>
  <c r="L19" i="10" s="1"/>
  <c r="S15" i="10"/>
  <c r="Y46" i="10"/>
  <c r="AA15" i="10"/>
  <c r="E15" i="10"/>
  <c r="O17" i="10"/>
  <c r="L22" i="10" l="1"/>
  <c r="L27" i="10"/>
  <c r="L32" i="10"/>
  <c r="L24" i="10"/>
  <c r="L23" i="10"/>
  <c r="J38" i="10"/>
  <c r="J12" i="10"/>
  <c r="K6" i="10"/>
  <c r="H17" i="10" s="1"/>
  <c r="I12" i="10"/>
  <c r="H12" i="10"/>
  <c r="T15" i="10"/>
  <c r="X6" i="10"/>
  <c r="W17" i="10" s="1"/>
  <c r="V17" i="10"/>
  <c r="V46" i="10" s="1"/>
  <c r="U13" i="10"/>
  <c r="S13" i="10"/>
  <c r="AA17" i="10"/>
  <c r="AA46" i="10" s="1"/>
  <c r="AB39" i="10" s="1"/>
  <c r="AB15" i="10"/>
  <c r="AB17" i="10" s="1"/>
  <c r="P6" i="10"/>
  <c r="O12" i="10"/>
  <c r="P12" i="10" s="1"/>
  <c r="P53" i="10"/>
  <c r="E11" i="16" s="1"/>
  <c r="P39" i="10"/>
  <c r="P45" i="10"/>
  <c r="P42" i="10"/>
  <c r="P52" i="10"/>
  <c r="G22" i="10"/>
  <c r="G23" i="10"/>
  <c r="G27" i="10"/>
  <c r="G32" i="10"/>
  <c r="G24" i="10"/>
  <c r="G19" i="10"/>
  <c r="F15" i="10"/>
  <c r="F17" i="10" s="1"/>
  <c r="K17" i="10"/>
  <c r="L20" i="10"/>
  <c r="X17" i="10"/>
  <c r="H45" i="10" l="1"/>
  <c r="K12" i="10"/>
  <c r="P47" i="10"/>
  <c r="P48" i="10"/>
  <c r="P51" i="10" s="1"/>
  <c r="T17" i="10"/>
  <c r="R17" i="10"/>
  <c r="R46" i="10" s="1"/>
  <c r="Q17" i="10"/>
  <c r="E17" i="10"/>
  <c r="R13" i="10"/>
  <c r="S17" i="10"/>
  <c r="K38" i="10"/>
  <c r="E12" i="10"/>
  <c r="Q13" i="10"/>
  <c r="C12" i="10"/>
  <c r="E38" i="10"/>
  <c r="S38" i="10"/>
  <c r="V13" i="10"/>
  <c r="U17" i="10"/>
  <c r="J17" i="10"/>
  <c r="J45" i="10" s="1"/>
  <c r="I17" i="10"/>
  <c r="I45" i="10" s="1"/>
  <c r="C17" i="10"/>
  <c r="G21" i="10"/>
  <c r="G26" i="10" s="1"/>
  <c r="G25" i="10" s="1"/>
  <c r="G28" i="10" s="1"/>
  <c r="G30" i="10"/>
  <c r="G31" i="10" s="1"/>
  <c r="G29" i="10" s="1"/>
  <c r="G33" i="10" s="1"/>
  <c r="G34" i="10" s="1"/>
  <c r="L21" i="10"/>
  <c r="L30" i="10"/>
  <c r="L31" i="10" s="1"/>
  <c r="L29" i="10" s="1"/>
  <c r="L33" i="10" s="1"/>
  <c r="L34" i="10" s="1"/>
  <c r="L26" i="10"/>
  <c r="L25" i="10" s="1"/>
  <c r="L28" i="10" s="1"/>
  <c r="AB46" i="10"/>
  <c r="AB53" i="10"/>
  <c r="H11" i="16" s="1"/>
  <c r="W13" i="10"/>
  <c r="W38" i="10"/>
  <c r="D12" i="10"/>
  <c r="D17" i="10"/>
  <c r="D45" i="10" s="1"/>
  <c r="X13" i="10" l="1"/>
  <c r="U46" i="10"/>
  <c r="K39" i="10"/>
  <c r="K42" i="10" s="1"/>
  <c r="K52" i="10"/>
  <c r="K45" i="10"/>
  <c r="T13" i="10"/>
  <c r="Q46" i="10"/>
  <c r="F12" i="10"/>
  <c r="C45" i="10"/>
  <c r="AB48" i="10"/>
  <c r="AB51" i="10" s="1"/>
  <c r="AB47" i="10"/>
  <c r="T38" i="10"/>
  <c r="S46" i="10"/>
  <c r="W46" i="10"/>
  <c r="X38" i="10"/>
  <c r="F38" i="10"/>
  <c r="E45" i="10"/>
  <c r="F42" i="10" l="1"/>
  <c r="F52" i="10"/>
  <c r="F45" i="10"/>
  <c r="F53" i="10"/>
  <c r="C11" i="16" s="1"/>
  <c r="F39" i="10"/>
  <c r="T42" i="10"/>
  <c r="T52" i="10"/>
  <c r="T46" i="10"/>
  <c r="T53" i="10"/>
  <c r="F11" i="16" s="1"/>
  <c r="T39" i="10"/>
  <c r="K47" i="10"/>
  <c r="K48" i="10"/>
  <c r="K51" i="10" s="1"/>
  <c r="K53" i="10" s="1"/>
  <c r="D11" i="16" s="1"/>
  <c r="X53" i="10"/>
  <c r="G11" i="16" s="1"/>
  <c r="X39" i="10"/>
  <c r="X52" i="10"/>
  <c r="X46" i="10"/>
  <c r="X42" i="10"/>
  <c r="X47" i="10" l="1"/>
  <c r="X48" i="10"/>
  <c r="X51" i="10" s="1"/>
  <c r="T48" i="10"/>
  <c r="T51" i="10" s="1"/>
  <c r="T47" i="10"/>
  <c r="F48" i="10"/>
  <c r="F51" i="10" s="1"/>
  <c r="F47" i="10"/>
</calcChain>
</file>

<file path=xl/sharedStrings.xml><?xml version="1.0" encoding="utf-8"?>
<sst xmlns="http://schemas.openxmlformats.org/spreadsheetml/2006/main" count="572" uniqueCount="512">
  <si>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</si>
  <si>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</si>
  <si>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</si>
  <si>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</si>
  <si>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</si>
  <si>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</si>
  <si>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</si>
  <si>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</si>
  <si>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</si>
  <si>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</si>
  <si>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</si>
  <si>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</si>
  <si>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</si>
  <si>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</si>
  <si>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</si>
  <si>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</si>
  <si>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</si>
  <si>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</si>
  <si>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</si>
  <si>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</si>
  <si>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</si>
  <si>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</si>
  <si>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</si>
  <si>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</si>
  <si>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</si>
  <si>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</si>
  <si>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</si>
  <si>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</si>
  <si>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</si>
  <si>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</si>
  <si>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</si>
  <si>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</si>
  <si>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</si>
  <si>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</si>
  <si>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</si>
  <si>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</si>
  <si>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</si>
  <si>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</si>
  <si>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</si>
  <si>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</si>
  <si>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</si>
  <si>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</si>
  <si>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</si>
  <si>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</si>
  <si>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</si>
  <si>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</si>
  <si>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</si>
  <si>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</si>
  <si>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</si>
  <si>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</si>
  <si>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</si>
  <si>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</si>
  <si>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</si>
  <si>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</si>
  <si>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</si>
  <si>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</si>
  <si>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</si>
  <si>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</si>
  <si>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</si>
  <si>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</si>
  <si>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</si>
  <si>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</si>
  <si>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</si>
  <si>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</si>
  <si>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</si>
  <si>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</si>
  <si>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</si>
  <si>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</si>
  <si>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</si>
  <si>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</si>
  <si>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</si>
  <si>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</si>
  <si>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</si>
  <si>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</si>
  <si>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</si>
  <si>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</si>
  <si>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</si>
  <si>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</si>
  <si>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</si>
  <si>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</si>
  <si>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</si>
  <si>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</si>
  <si>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</si>
  <si>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</si>
  <si>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</si>
  <si>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</si>
  <si>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</si>
  <si>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</si>
  <si>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</si>
  <si>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</si>
  <si>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</si>
  <si>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</si>
  <si>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</si>
  <si>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</si>
  <si>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</si>
  <si>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</si>
  <si>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</si>
  <si>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</si>
  <si>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</si>
  <si>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</si>
  <si>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</si>
  <si>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</si>
  <si>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</si>
  <si>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</si>
  <si>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</si>
  <si>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</si>
  <si>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</si>
  <si>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</si>
  <si>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</si>
  <si>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</si>
  <si>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</si>
  <si>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</si>
  <si>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</si>
  <si>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</si>
  <si>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</si>
  <si>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</si>
  <si>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</si>
  <si>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</si>
  <si>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</si>
  <si>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</si>
  <si>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</si>
  <si>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</si>
  <si>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</si>
  <si>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</si>
  <si>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</si>
  <si>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</si>
  <si>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</si>
  <si>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</si>
  <si>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</si>
  <si>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</si>
  <si>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</si>
  <si>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</si>
  <si>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</si>
  <si>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</si>
  <si>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</si>
  <si>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</si>
  <si>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</si>
  <si>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</si>
  <si>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</si>
  <si>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</si>
  <si>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</si>
  <si>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</si>
  <si>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</si>
  <si>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</si>
  <si>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</si>
  <si>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</si>
  <si>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</si>
  <si>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</si>
  <si>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</si>
  <si>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</si>
  <si>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</si>
  <si>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</si>
  <si>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</si>
  <si>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</si>
  <si>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</si>
  <si>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</si>
  <si>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</si>
  <si>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</si>
  <si>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</si>
  <si>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</si>
  <si>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</si>
  <si>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</si>
  <si>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</si>
  <si>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</si>
  <si>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</si>
  <si>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</si>
  <si>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</si>
  <si>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</si>
  <si>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</si>
  <si>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</si>
  <si>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</si>
  <si>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</si>
  <si>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</si>
  <si>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</si>
  <si>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</si>
  <si>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</si>
  <si>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</si>
  <si>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</si>
  <si>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</si>
  <si>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</si>
  <si>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</si>
  <si>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</si>
  <si>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</si>
  <si>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</si>
  <si>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</si>
  <si>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</si>
  <si>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</si>
  <si>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</si>
  <si>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</si>
  <si>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</si>
  <si>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</si>
  <si>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</si>
  <si>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</si>
  <si>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</si>
  <si>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</si>
  <si>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</si>
  <si>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</si>
  <si>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</si>
  <si>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</si>
  <si>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</si>
  <si>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</si>
  <si>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</si>
  <si>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</si>
  <si>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</si>
  <si>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</si>
  <si>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</si>
  <si>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</si>
  <si>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</si>
  <si>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</si>
  <si>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</si>
  <si>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</si>
  <si>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</si>
  <si>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</si>
  <si>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</si>
  <si>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</si>
  <si>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</si>
  <si>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</si>
  <si>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</si>
  <si>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</si>
  <si>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</si>
  <si>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</si>
  <si>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</si>
  <si>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</si>
  <si>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</si>
  <si>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</si>
  <si>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</si>
  <si>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</si>
  <si>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</si>
  <si>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</si>
  <si>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</si>
  <si>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</si>
  <si>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</si>
  <si>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</si>
  <si>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</si>
  <si>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</si>
  <si>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</si>
  <si>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</si>
  <si>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</si>
  <si>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</si>
  <si>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</si>
  <si>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</si>
  <si>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</si>
  <si>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</si>
  <si>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</si>
  <si>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</si>
  <si>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</si>
  <si>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</si>
  <si>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</si>
  <si>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</si>
  <si>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</si>
  <si>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</si>
  <si>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</si>
  <si>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</si>
  <si>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</si>
  <si>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</si>
  <si>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</si>
  <si>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</si>
  <si>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</si>
  <si>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</si>
  <si>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</si>
  <si>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</si>
  <si>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</si>
  <si>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</si>
  <si>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</si>
  <si>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</si>
  <si>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</si>
  <si>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</si>
  <si>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</si>
  <si>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</si>
  <si>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</si>
  <si>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</si>
  <si>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</si>
  <si>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</si>
  <si>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</si>
  <si>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</si>
  <si>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</si>
  <si>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</si>
  <si>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</si>
  <si>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</si>
  <si>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</si>
  <si>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</si>
  <si>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</si>
  <si>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</si>
  <si>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</si>
  <si>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</si>
  <si>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</si>
  <si>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</si>
  <si>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</si>
  <si>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</si>
  <si>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</si>
  <si>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</si>
  <si>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</si>
  <si>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</si>
  <si>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</si>
  <si>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</si>
  <si>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</si>
  <si>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</si>
  <si>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</si>
  <si>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</si>
  <si>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</si>
  <si>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</si>
  <si>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</si>
  <si>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</si>
  <si>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</si>
  <si>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</si>
  <si>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</si>
  <si>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</si>
  <si>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</si>
  <si>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</si>
  <si>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</si>
  <si>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</si>
  <si>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</si>
  <si>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</si>
  <si>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</si>
  <si>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</si>
  <si>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</si>
  <si>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</si>
  <si>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</si>
  <si>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</si>
  <si>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</si>
  <si>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</si>
  <si>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</si>
  <si>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</si>
  <si>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</si>
  <si>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</si>
  <si>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</si>
  <si>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</si>
  <si>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</si>
  <si>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</si>
  <si>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</si>
  <si>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</si>
  <si>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</si>
  <si>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</si>
  <si>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</si>
  <si>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</si>
  <si>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</si>
  <si>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</si>
  <si>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</si>
  <si>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</si>
  <si>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</si>
  <si>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</si>
  <si>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</si>
  <si>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</si>
  <si>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</si>
  <si>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</si>
  <si>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</si>
  <si>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</si>
  <si>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</si>
  <si>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</si>
  <si>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</si>
  <si>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</si>
  <si>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</si>
  <si>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</si>
  <si>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</si>
  <si>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</si>
  <si>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</si>
  <si>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</si>
  <si>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</si>
  <si>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</si>
  <si>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</si>
  <si>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</si>
  <si>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</si>
  <si>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</si>
  <si>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</si>
  <si>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</si>
  <si>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</si>
  <si>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</si>
  <si>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</si>
  <si>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</si>
  <si>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</si>
  <si>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</si>
  <si>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</si>
  <si>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</si>
  <si>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</si>
  <si>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</si>
  <si>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</si>
  <si>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</si>
  <si>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</si>
  <si>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</si>
  <si>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</si>
  <si>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</si>
  <si>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</si>
  <si>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</si>
  <si>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</si>
  <si>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</si>
  <si>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</si>
  <si>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</si>
  <si>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</si>
  <si>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</si>
  <si>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</si>
  <si>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</si>
  <si>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</si>
  <si>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</si>
  <si>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</si>
  <si>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</si>
  <si>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</si>
  <si>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</si>
  <si>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</si>
  <si>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</si>
  <si>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</si>
  <si>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</si>
  <si>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</si>
  <si>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</si>
  <si>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</si>
  <si>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</si>
  <si>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</si>
  <si>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</si>
  <si>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</si>
  <si>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</si>
  <si>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</si>
  <si>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</si>
  <si>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</si>
  <si>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</si>
  <si>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</si>
  <si>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</si>
  <si>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</si>
  <si>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</si>
  <si>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</si>
  <si>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</si>
  <si>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</si>
  <si>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</si>
  <si>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</si>
  <si>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</si>
  <si>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</si>
  <si>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</si>
  <si>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</si>
  <si>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</si>
  <si>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</si>
  <si>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</si>
  <si>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</si>
  <si>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</si>
  <si>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</si>
  <si>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</si>
  <si>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</si>
  <si>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</si>
  <si>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</si>
  <si>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</si>
  <si>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</si>
  <si>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</si>
  <si>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</si>
  <si>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</si>
  <si>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</si>
  <si>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</si>
  <si>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</si>
  <si>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</si>
  <si>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</si>
  <si>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</si>
  <si>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</si>
  <si>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</si>
  <si>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</si>
  <si>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</si>
  <si>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</si>
  <si>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</si>
  <si>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</si>
  <si>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</si>
  <si>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</si>
  <si>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</si>
  <si>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</si>
  <si>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</si>
  <si>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</si>
  <si>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</si>
  <si>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</si>
  <si>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</si>
  <si>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</si>
  <si>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</si>
  <si>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</si>
  <si>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</si>
  <si>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</si>
  <si>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</si>
  <si>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</si>
  <si>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</si>
  <si>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</si>
  <si>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</si>
  <si>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</si>
  <si>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</si>
  <si>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</si>
  <si>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</si>
  <si>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</si>
  <si>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</si>
  <si>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</si>
  <si>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</si>
  <si>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</si>
  <si>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</si>
  <si>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</si>
  <si>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</si>
  <si>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</si>
  <si>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</si>
  <si>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</si>
  <si>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</si>
  <si>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</si>
  <si>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</si>
  <si>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</si>
  <si>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</si>
  <si>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</si>
  <si>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</si>
  <si>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</si>
  <si>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</si>
  <si>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</si>
  <si>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</si>
  <si>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</si>
  <si>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</si>
  <si>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</si>
  <si>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</si>
  <si>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</si>
  <si>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</si>
  <si>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67612</t>
  </si>
  <si>
    <t>United States Virgin Islands</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</si>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</sst>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507</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506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-1023</v>
      </c>
      <c r="Q5" s="219">
        <f>SUM('Pt 2 Premium and Claims'!Q$5,'Pt 2 Premium and Claims'!Q$6,-'Pt 2 Premium and Claims'!Q$7,-'Pt 2 Premium and Claims'!Q$13,'Pt 2 Premium and Claims'!Q$14)</f>
        <v>-94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727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-167824</v>
      </c>
      <c r="K12" s="219">
        <f>'Pt 2 Premium and Claims'!K$54</f>
        <v>-7094</v>
      </c>
      <c r="L12" s="219">
        <f>'Pt 2 Premium and Claims'!L$54</f>
        <v>0</v>
      </c>
      <c r="M12" s="219">
        <f>'Pt 2 Premium and Claims'!M$54</f>
        <v>0</v>
      </c>
      <c r="N12" s="219">
        <f>'Pt 2 Premium and Claims'!N$54</f>
        <v>0</v>
      </c>
      <c r="O12" s="218">
        <f>'Pt 2 Premium and Claims'!O$54</f>
        <v>0</v>
      </c>
      <c r="P12" s="218">
        <f>'Pt 2 Premium and Claims'!P$54</f>
        <v>-36719</v>
      </c>
      <c r="Q12" s="219">
        <f>'Pt 2 Premium and Claims'!Q$54</f>
        <v>-215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3647</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2240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7112</v>
      </c>
      <c r="L14" s="223"/>
      <c r="M14" s="273"/>
      <c r="N14" s="276"/>
      <c r="O14" s="222"/>
      <c r="P14" s="222">
        <v>3</v>
      </c>
      <c r="Q14" s="223">
        <v>-14</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96</v>
      </c>
      <c r="AU14" s="226">
        <v>0</v>
      </c>
      <c r="AV14" s="296"/>
      <c r="AW14" s="303"/>
    </row>
    <row r="15" spans="1:49" ht="38.25" x14ac:dyDescent="0.2">
      <c r="B15" s="245" t="s">
        <v>232</v>
      </c>
      <c r="C15" s="209" t="s">
        <v>7</v>
      </c>
      <c r="D15" s="222">
        <v>0</v>
      </c>
      <c r="E15" s="223">
        <v>0</v>
      </c>
      <c r="F15" s="223"/>
      <c r="G15" s="273"/>
      <c r="H15" s="279"/>
      <c r="I15" s="222">
        <v>0</v>
      </c>
      <c r="J15" s="222">
        <v>-630</v>
      </c>
      <c r="K15" s="223">
        <v>0</v>
      </c>
      <c r="L15" s="223"/>
      <c r="M15" s="273"/>
      <c r="N15" s="279"/>
      <c r="O15" s="222"/>
      <c r="P15" s="222">
        <v>-157</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80897</v>
      </c>
      <c r="K25" s="223">
        <v>80897</v>
      </c>
      <c r="L25" s="223"/>
      <c r="M25" s="223"/>
      <c r="N25" s="223"/>
      <c r="O25" s="222"/>
      <c r="P25" s="222">
        <v>23952</v>
      </c>
      <c r="Q25" s="223">
        <v>23952</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1192</v>
      </c>
      <c r="AU25" s="226">
        <v>0</v>
      </c>
      <c r="AV25" s="226">
        <v>111915</v>
      </c>
      <c r="AW25" s="303"/>
    </row>
    <row r="26" spans="1:49" s="11" customFormat="1" x14ac:dyDescent="0.2">
      <c r="A26" s="41"/>
      <c r="B26" s="248" t="s">
        <v>242</v>
      </c>
      <c r="C26" s="209"/>
      <c r="D26" s="222">
        <v>0</v>
      </c>
      <c r="E26" s="223">
        <v>0</v>
      </c>
      <c r="F26" s="223"/>
      <c r="G26" s="223"/>
      <c r="H26" s="223"/>
      <c r="I26" s="222">
        <v>0</v>
      </c>
      <c r="J26" s="222">
        <v>4</v>
      </c>
      <c r="K26" s="223">
        <v>4</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-37</v>
      </c>
      <c r="Q30" s="223">
        <v>-37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-31</v>
      </c>
      <c r="Q31" s="223">
        <v>-31</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-5</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-60</v>
      </c>
      <c r="Q47" s="223">
        <v>-60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232167</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3679556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69604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117610</v>
      </c>
      <c r="Q5" s="332">
        <v>-728</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708</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635</v>
      </c>
      <c r="Q6" s="325">
        <v>635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683</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118585</v>
      </c>
      <c r="Q13" s="325">
        <v>1</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-3684</v>
      </c>
      <c r="K23" s="368"/>
      <c r="L23" s="368"/>
      <c r="M23" s="368"/>
      <c r="N23" s="368"/>
      <c r="O23" s="370"/>
      <c r="P23" s="324">
        <v>-38343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4747</v>
      </c>
      <c r="AU23" s="327">
        <v>0</v>
      </c>
      <c r="AV23" s="374"/>
      <c r="AW23" s="380"/>
    </row>
    <row r="24" spans="2:49" ht="28.5" customHeight="1" x14ac:dyDescent="0.2">
      <c r="B24" s="351" t="s">
        <v>114</v>
      </c>
      <c r="C24" s="337"/>
      <c r="D24" s="371"/>
      <c r="E24" s="325">
        <v>0</v>
      </c>
      <c r="F24" s="325"/>
      <c r="G24" s="325"/>
      <c r="H24" s="325"/>
      <c r="I24" s="324">
        <v>0</v>
      </c>
      <c r="J24" s="371"/>
      <c r="K24" s="325">
        <v>-6553</v>
      </c>
      <c r="L24" s="325"/>
      <c r="M24" s="325"/>
      <c r="N24" s="325"/>
      <c r="O24" s="324"/>
      <c r="P24" s="371"/>
      <c r="Q24" s="325">
        <v>-134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-425</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36</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-93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147890</v>
      </c>
      <c r="K28" s="369"/>
      <c r="L28" s="369"/>
      <c r="M28" s="369"/>
      <c r="N28" s="369"/>
      <c r="O28" s="371"/>
      <c r="P28" s="324">
        <v>-2195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1118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-73</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17251</v>
      </c>
      <c r="K32" s="369"/>
      <c r="L32" s="369"/>
      <c r="M32" s="369"/>
      <c r="N32" s="369"/>
      <c r="O32" s="371"/>
      <c r="P32" s="324">
        <v>64</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541</v>
      </c>
      <c r="K36" s="325">
        <v>541</v>
      </c>
      <c r="L36" s="325"/>
      <c r="M36" s="325"/>
      <c r="N36" s="325"/>
      <c r="O36" s="324"/>
      <c r="P36" s="324">
        <v>-11</v>
      </c>
      <c r="Q36" s="325">
        <v>-11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-4</v>
      </c>
      <c r="K45" s="325">
        <v>0</v>
      </c>
      <c r="L45" s="325"/>
      <c r="M45" s="325"/>
      <c r="N45" s="325"/>
      <c r="O45" s="324"/>
      <c r="P45" s="324">
        <v>-1</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2783</v>
      </c>
      <c r="K49" s="325">
        <v>0</v>
      </c>
      <c r="L49" s="325"/>
      <c r="M49" s="325"/>
      <c r="N49" s="325"/>
      <c r="O49" s="324"/>
      <c r="P49" s="324">
        <v>3</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4329</v>
      </c>
      <c r="K50" s="369"/>
      <c r="L50" s="369"/>
      <c r="M50" s="369"/>
      <c r="N50" s="369"/>
      <c r="O50" s="371"/>
      <c r="P50" s="324">
        <v>-17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-167824</v>
      </c>
      <c r="K54" s="329">
        <f>K24+K27+K31+K35-K36+K39+K42+K45+K46-K49+K51+K52+K53</f>
        <v>-7094</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-36719</v>
      </c>
      <c r="Q54" s="329">
        <f>Q24+Q27+Q31+Q35-Q36+Q39+Q42+Q45+Q46-Q49+Q51+Q52+Q53</f>
        <v>-215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3647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705</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5485030</v>
      </c>
      <c r="I6" s="404">
        <v>946903</v>
      </c>
      <c r="J6" s="406">
        <f>SUM('Pt 1 Summary of Data'!K$12,'Pt 1 Summary of Data'!K$22)+SUM('Pt 1 Summary of Data'!M$12,'Pt 1 Summary of Data'!M$22)-SUM('Pt 1 Summary of Data'!N$12,'Pt 1 Summary of Data'!N$22)</f>
        <v>-7094</v>
      </c>
      <c r="K6" s="406">
        <f>SUM(H6:J6)</f>
        <v>6424839</v>
      </c>
      <c r="L6" s="407">
        <f>SUM('Pt 1 Summary of Data'!O$12,'Pt 1 Summary of Data'!O$22)</f>
        <v>0</v>
      </c>
      <c r="M6" s="403">
        <v>85035</v>
      </c>
      <c r="N6" s="404">
        <v>-154022</v>
      </c>
      <c r="O6" s="406">
        <f>SUM('Pt 1 Summary of Data'!Q$12,'Pt 1 Summary of Data'!Q$22)+SUM('Pt 1 Summary of Data'!S$12,'Pt 1 Summary of Data'!S$22)-SUM('Pt 1 Summary of Data'!T$12,'Pt 1 Summary of Data'!T$22)</f>
        <v>-215</v>
      </c>
      <c r="P6" s="406">
        <f>SUM(M6:O6)</f>
        <v>-69202</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27419</v>
      </c>
      <c r="I7" s="404">
        <v>1172</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28591</v>
      </c>
      <c r="L7" s="407">
        <f>SUM('Pt 1 Summary of Data'!O$37:O$41)+MAX(0,MIN(VALUE('Pt 1 Summary of Data'!O$42),0.3%*('Pt 1 Summary of Data'!O$5-L$10)))</f>
        <v>0</v>
      </c>
      <c r="M7" s="403">
        <v>9410</v>
      </c>
      <c r="N7" s="404">
        <v>22</v>
      </c>
      <c r="O7" s="406">
        <f>SUM('Pt 1 Summary of Data'!Q$37:Q$41)+SUM('Pt 1 Summary of Data'!S$37:S$41)-SUM('Pt 1 Summary of Data'!T$37:T$41)+MAX(0,MIN('Pt 1 Summary of Data'!Q$42+'Pt 1 Summary of Data'!S$42-'Pt 1 Summary of Data'!T$42,0.3%*('Pt 1 Summary of Data'!Q$5+'Pt 1 Summary of Data'!S$5-'Pt 1 Summary of Data'!T$5)))</f>
        <v>0</v>
      </c>
      <c r="P7" s="406">
        <f>SUM(M7:O7)</f>
        <v>9432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5512449</v>
      </c>
      <c r="I12" s="406">
        <f>SUM(I$6:I$7) - SUM(I$10:I$11)+IF(AND(OR('Company Information'!$C$12="District of Columbia",'Company Information'!$C$12="Massachusetts",'Company Information'!$C$12="Vermont"),SUM($H$6:$K$11,$H$15:$K$16,$H$38:$I$38)&lt;&gt;0),SUM(D$6:D$7) - SUM(D$8:D$11),0)</f>
        <v>948075</v>
      </c>
      <c r="J12" s="406">
        <f>SUM(J$6:J$7)-SUM(J$10:J$11)+IF(AND(OR('Company Information'!$C$12="District of Columbia",'Company Information'!$C$12="Massachusetts",'Company Information'!$C$12="Vermont"),SUM($H$6:$K$11,$H$15:$K$16,$H$38:$I$38)&lt;&gt;0),SUM(E$6:E$7)-SUM(E$8:E$11),0)</f>
        <v>-7094</v>
      </c>
      <c r="K12" s="406">
        <f>IFERROR(SUM(H$12:J$12)+H$17*MAX(0,J$50-H$50)+I$17*MAX(0,J$50-I$50),0)</f>
        <v>6453430</v>
      </c>
      <c r="L12" s="453"/>
      <c r="M12" s="405">
        <f>SUM(M$6:M$7)</f>
        <v>94445</v>
      </c>
      <c r="N12" s="406">
        <f>SUM(N$6:N$7)</f>
        <v>-154000</v>
      </c>
      <c r="O12" s="406">
        <f>SUM(O$6:O$7)</f>
        <v>-215</v>
      </c>
      <c r="P12" s="406">
        <f>SUM(M$12:O$12)+M$17*MAX(0,O$50-M$50)+N$17*MAX(0,O$50-N$50)</f>
        <v>-59770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7283749</v>
      </c>
      <c r="I15" s="409">
        <v>1266983</v>
      </c>
      <c r="J15" s="401">
        <f>SUM('Pt 1 Summary of Data'!K$5:K$7)+SUM('Pt 1 Summary of Data'!M$5:M$7)-SUM('Pt 1 Summary of Data'!N$5:N$7)-SUM(J$10:J$11)</f>
        <v>0</v>
      </c>
      <c r="K15" s="401">
        <f>SUM(H15:J15)</f>
        <v>8550732</v>
      </c>
      <c r="L15" s="402">
        <f>SUM('Pt 1 Summary of Data'!O$5:O$7)-L$10</f>
        <v>0</v>
      </c>
      <c r="M15" s="408">
        <v>1845223</v>
      </c>
      <c r="N15" s="409">
        <v>23728</v>
      </c>
      <c r="O15" s="401">
        <f>SUM('Pt 1 Summary of Data'!Q$5:Q$7)+SUM('Pt 1 Summary of Data'!S$5:S$7)-SUM('Pt 1 Summary of Data'!T$5:T$7)+N$56</f>
        <v>-94</v>
      </c>
      <c r="P15" s="401">
        <f>SUM(M15:O15)</f>
        <v>1868857</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430946</v>
      </c>
      <c r="I16" s="404">
        <v>54569</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80901</v>
      </c>
      <c r="K16" s="406">
        <f>SUM(H16:J16)</f>
        <v>566416</v>
      </c>
      <c r="L16" s="407">
        <f>SUM('Pt 1 Summary of Data'!O$25:O$28,'Pt 1 Summary of Data'!O$30,'Pt 1 Summary of Data'!O$34:O$35)+IF('Company Information'!$C$15="No",IF(MAX('Pt 1 Summary of Data'!O$31:O$32)=0,MIN('Pt 1 Summary of Data'!O$31:O$32),MAX('Pt 1 Summary of Data'!O$31:O$32)),SUM('Pt 1 Summary of Data'!O$31:O$32))</f>
        <v>0</v>
      </c>
      <c r="M16" s="403">
        <v>-1178079</v>
      </c>
      <c r="N16" s="404">
        <v>37207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23884</v>
      </c>
      <c r="P16" s="406">
        <f>SUM(M16:O16)</f>
        <v>-1116988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6852803</v>
      </c>
      <c r="I17" s="406">
        <f>I$15-I$16+IF(AND(OR('Company Information'!$C$12="District of Columbia",'Company Information'!$C$12="Massachusetts",'Company Information'!$C$12="Vermont"),SUM($H$6:$K$11,$H$15:$K$16,$H$38:$I$38)&lt;&gt;0),D$15-D$16,0)</f>
        <v>1212414</v>
      </c>
      <c r="J17" s="406">
        <f>J$15-J$16+IF(AND(OR('Company Information'!$C$12="District of Columbia",'Company Information'!$C$12="Massachusetts",'Company Information'!$C$12="Vermont"),SUM($H$6:$K$11,$H$15:$K$16,$H$38:$I$38)&lt;&gt;0),E$15-E$16,0)</f>
        <v>-80901</v>
      </c>
      <c r="K17" s="406">
        <f>K$15-K$16+IF(AND(OR('Company Information'!$C$12="District of Columbia",'Company Information'!$C$12="Massachusetts",'Company Information'!$C$12="Vermont"),SUM($H$6:$K$11,$H$15:$K$16,$H$38:$I$38)&lt;&gt;0),F$15-F$16,0)</f>
        <v>7984316</v>
      </c>
      <c r="L17" s="456"/>
      <c r="M17" s="405">
        <f>M$15-M$16</f>
        <v>3023302</v>
      </c>
      <c r="N17" s="406">
        <f>N$15-N$16</f>
        <v>-13479</v>
      </c>
      <c r="O17" s="406">
        <f>O$15-O$16</f>
        <v>-23978</v>
      </c>
      <c r="P17" s="406">
        <f>P$15-P$16</f>
        <v>2985845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1419.9167</v>
      </c>
      <c r="I38" s="411">
        <v>231.58330000000001</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1651.5</v>
      </c>
      <c r="L38" s="454"/>
      <c r="M38" s="410">
        <v>489.33330000000001</v>
      </c>
      <c r="N38" s="411">
        <v>4.1666999999999996</v>
      </c>
      <c r="O38" s="438">
        <f>('Pt 1 Summary of Data'!Q$59+'Pt 1 Summary of Data'!S$59-'Pt 1 Summary of Data'!T$59)/12</f>
        <v>0</v>
      </c>
      <c r="P38" s="438">
        <f>SUM(M$38:O$38)</f>
        <v>493.5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6.9535666666666662E-2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 ca="1">IF(OR(K$38&lt;1000,K$38&gt;=75000),0,K$39*K$41)</f>
        <v>6.9535666666666662E-2</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f>IF(OR(H$38&lt;1000,H$17&lt;=0),"",H$12/H$17)</f>
        <v>0.80440791892018493</v>
      </c>
      <c r="I45" s="442" t="str">
        <f>IF(OR(I$38&lt;1000,I$17&lt;=0),"",I$12/I$17)</f>
        <v/>
      </c>
      <c r="J45" s="442" t="str">
        <f>IF(OR(J$38&lt;1000,J$17&lt;=0),"",J$12/J$17)</f>
        <v/>
      </c>
      <c r="K45" s="442">
        <f>IF(OR(K$38&lt;1000,K$17&lt;=0),"",K$12/K$17)</f>
        <v>0.80826335029825969</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f ca="1">IF(K$45="","",K$42)</f>
        <v>6.9535666666666662E-2</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f ca="1">IF(K$45="","",ROUND(K$45+MAX(0,K$47),3))</f>
        <v>0.878</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f ca="1">K$48</f>
        <v>0.878</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f>IF(K$38&lt;1000,"",MAX(0,J$15-J$16))</f>
        <v>0</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 ca="1">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34475</v>
      </c>
      <c r="I56" s="447"/>
      <c r="J56" s="447"/>
      <c r="K56" s="447"/>
      <c r="L56" s="453"/>
      <c r="M56" s="403">
        <v>1185</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14310</v>
      </c>
      <c r="I57" s="447"/>
      <c r="J57" s="447"/>
      <c r="K57" s="447"/>
      <c r="L57" s="453"/>
      <c r="M57" s="403">
        <v>492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 ca="1">'Pt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510</v>
      </c>
      <c r="D23" s="6"/>
      <c r="E23" s="6"/>
      <c r="F23" s="6"/>
      <c r="G23" s="6"/>
      <c r="H23" s="6"/>
      <c r="I23" s="6"/>
      <c r="J23" s="6"/>
      <c r="K23" s="5"/>
    </row>
    <row r="24" spans="2:12" s="11" customFormat="1" ht="100.15" customHeight="1" x14ac:dyDescent="0.2">
      <c r="B24" s="96" t="s">
        <v>213</v>
      </c>
      <c r="C24" s="1" t="s">
        <v>511</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t="s">
        <v>509</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