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4" s="1"/>
  <c r="AA12" i="18"/>
  <c r="AA11" i="18"/>
  <c r="AA9" i="18"/>
  <c r="Y56" i="18"/>
  <c r="Y55" i="18"/>
  <c r="Y22" i="4" s="1"/>
  <c r="Y36" i="18"/>
  <c r="Y35" i="18"/>
  <c r="Y54" i="18" s="1"/>
  <c r="Y12" i="4" s="1"/>
  <c r="Y11" i="18"/>
  <c r="Y10" i="18"/>
  <c r="X55" i="18"/>
  <c r="X54" i="18"/>
  <c r="X12" i="4" s="1"/>
  <c r="X12" i="18"/>
  <c r="X11" i="18"/>
  <c r="X9" i="18"/>
  <c r="V56" i="18"/>
  <c r="V55" i="18"/>
  <c r="V36" i="18"/>
  <c r="V35" i="18"/>
  <c r="V54" i="18" s="1"/>
  <c r="V12" i="4" s="1"/>
  <c r="S6" i="10" s="1"/>
  <c r="V11" i="18"/>
  <c r="V10" i="18"/>
  <c r="V6" i="18"/>
  <c r="U55" i="18"/>
  <c r="U22" i="4" s="1"/>
  <c r="U54" i="18"/>
  <c r="U12" i="18"/>
  <c r="U11" i="18"/>
  <c r="U9" i="18"/>
  <c r="Q56" i="18"/>
  <c r="Q55" i="18" s="1"/>
  <c r="Q22" i="4" s="1"/>
  <c r="Q36" i="18"/>
  <c r="Q35" i="18"/>
  <c r="Q54" i="18" s="1"/>
  <c r="Q12" i="4" s="1"/>
  <c r="O6" i="10" s="1"/>
  <c r="Q11" i="18"/>
  <c r="Q10" i="18"/>
  <c r="P55" i="18"/>
  <c r="P22" i="4" s="1"/>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5" i="4"/>
  <c r="O60"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L20" i="10" l="1"/>
  <c r="L19" i="10"/>
  <c r="P37" i="10"/>
  <c r="T37" i="10"/>
  <c r="J15" i="10"/>
  <c r="J7" i="10"/>
  <c r="K7" i="10" s="1"/>
  <c r="J6" i="10"/>
  <c r="W6" i="10"/>
  <c r="L25" i="10"/>
  <c r="G25" i="10"/>
  <c r="P15" i="10"/>
  <c r="P17" i="10" s="1"/>
  <c r="O17" i="10"/>
  <c r="O44" i="10" s="1"/>
  <c r="T15" i="10"/>
  <c r="S17" i="10"/>
  <c r="S45" i="10" s="1"/>
  <c r="T6" i="10"/>
  <c r="Q17" i="10" s="1"/>
  <c r="R17" i="10"/>
  <c r="R45" i="10" s="1"/>
  <c r="G19" i="10"/>
  <c r="AB37" i="10"/>
  <c r="L29" i="10"/>
  <c r="L21" i="10"/>
  <c r="L28" i="10"/>
  <c r="L24" i="10"/>
  <c r="L23" i="10" s="1"/>
  <c r="F15" i="10"/>
  <c r="X37" i="10"/>
  <c r="F6" i="10"/>
  <c r="C12" i="10" s="1"/>
  <c r="O12" i="10"/>
  <c r="P6" i="10"/>
  <c r="K37" i="10"/>
  <c r="AA13" i="10"/>
  <c r="AB6" i="10"/>
  <c r="AB13" i="10" s="1"/>
  <c r="S7" i="10"/>
  <c r="T7" i="10" s="1"/>
  <c r="AA15" i="10"/>
  <c r="E7" i="10"/>
  <c r="F7" i="10" s="1"/>
  <c r="O7" i="10"/>
  <c r="P7" i="10" s="1"/>
  <c r="W15" i="10"/>
  <c r="G7" i="10"/>
  <c r="G21" i="10" s="1"/>
  <c r="P12" i="10"/>
  <c r="Q45" i="10" l="1"/>
  <c r="T13" i="10"/>
  <c r="F51" i="10"/>
  <c r="F52" i="10" s="1"/>
  <c r="C11" i="16" s="1"/>
  <c r="F46" i="10"/>
  <c r="F41" i="10"/>
  <c r="AA17" i="10"/>
  <c r="AA45" i="10" s="1"/>
  <c r="AB15" i="10"/>
  <c r="AB17" i="10" s="1"/>
  <c r="E12" i="10"/>
  <c r="E17" i="10"/>
  <c r="E44" i="10" s="1"/>
  <c r="G20" i="10"/>
  <c r="S13" i="10"/>
  <c r="T17" i="10"/>
  <c r="G28" i="10"/>
  <c r="G29" i="10"/>
  <c r="K6" i="10"/>
  <c r="J12" i="10" s="1"/>
  <c r="I17" i="10"/>
  <c r="I44" i="10" s="1"/>
  <c r="D17" i="10"/>
  <c r="D44" i="10" s="1"/>
  <c r="X6" i="10"/>
  <c r="U17" i="10" s="1"/>
  <c r="P51" i="10"/>
  <c r="P38" i="10"/>
  <c r="P41" i="10" s="1"/>
  <c r="P46" i="10" s="1"/>
  <c r="P44" i="10"/>
  <c r="X15" i="10"/>
  <c r="X17" i="10" s="1"/>
  <c r="X45" i="10" s="1"/>
  <c r="X47" i="10" s="1"/>
  <c r="X50" i="10" s="1"/>
  <c r="K51" i="10"/>
  <c r="K52" i="10" s="1"/>
  <c r="D11" i="16" s="1"/>
  <c r="K46" i="10"/>
  <c r="K41" i="10"/>
  <c r="D12" i="10"/>
  <c r="C17" i="10"/>
  <c r="F17" i="10"/>
  <c r="F44" i="10" s="1"/>
  <c r="F47" i="10" s="1"/>
  <c r="F50" i="10" s="1"/>
  <c r="R13" i="10"/>
  <c r="T51" i="10"/>
  <c r="T52" i="10" s="1"/>
  <c r="F11" i="16" s="1"/>
  <c r="T46" i="10"/>
  <c r="T38" i="10"/>
  <c r="T45" i="10"/>
  <c r="T47" i="10" s="1"/>
  <c r="T50" i="10" s="1"/>
  <c r="T41" i="10"/>
  <c r="X41" i="10"/>
  <c r="X51" i="10"/>
  <c r="X52" i="10" s="1"/>
  <c r="G11" i="16" s="1"/>
  <c r="X46" i="10"/>
  <c r="X38" i="10"/>
  <c r="AB45" i="10"/>
  <c r="AB47" i="10" s="1"/>
  <c r="AB50" i="10" s="1"/>
  <c r="AB41" i="10"/>
  <c r="AB51" i="10"/>
  <c r="AB52" i="10" s="1"/>
  <c r="H11" i="16" s="1"/>
  <c r="AB46" i="10"/>
  <c r="AB38" i="10"/>
  <c r="Q13" i="10"/>
  <c r="K15" i="10"/>
  <c r="J17" i="10"/>
  <c r="J44" i="10" s="1"/>
  <c r="L27" i="10"/>
  <c r="U45" i="10" l="1"/>
  <c r="W17" i="10"/>
  <c r="W45" i="10" s="1"/>
  <c r="K17" i="10"/>
  <c r="K44" i="10" s="1"/>
  <c r="K47" i="10" s="1"/>
  <c r="K50" i="10" s="1"/>
  <c r="I12" i="10"/>
  <c r="H17" i="10"/>
  <c r="G24" i="10"/>
  <c r="G23" i="10" s="1"/>
  <c r="G27" i="10" s="1"/>
  <c r="L31" i="10"/>
  <c r="L32" i="10" s="1"/>
  <c r="L33" i="10" s="1"/>
  <c r="L26" i="10"/>
  <c r="L30" i="10" s="1"/>
  <c r="V17" i="10"/>
  <c r="V45" i="10" s="1"/>
  <c r="V13" i="10"/>
  <c r="F12" i="10"/>
  <c r="C44" i="10"/>
  <c r="F38" i="10" s="1"/>
  <c r="W13" i="10"/>
  <c r="P47" i="10"/>
  <c r="P50" i="10" s="1"/>
  <c r="P52" i="10" s="1"/>
  <c r="E11" i="16" s="1"/>
  <c r="U13" i="10"/>
  <c r="H12" i="10"/>
  <c r="G26" i="10" l="1"/>
  <c r="G30" i="10" s="1"/>
  <c r="G31" i="10"/>
  <c r="G32" i="10" s="1"/>
  <c r="G33" i="10" s="1"/>
  <c r="H44" i="10"/>
  <c r="K38" i="10" s="1"/>
  <c r="K12" i="10"/>
  <c r="X13"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<sst xmlns="http://schemas.openxmlformats.org/spreadsheetml/2006/main" count="570" uniqueCount="509">
  <si>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</si>
  <si>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</si>
  <si>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</si>
  <si>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</si>
  <si>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</si>
  <si>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</si>
  <si>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</si>
  <si>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</si>
  <si>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</si>
  <si>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</si>
  <si>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</si>
  <si>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</si>
  <si>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</si>
  <si>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</si>
  <si>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</si>
  <si>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</si>
  <si>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</si>
  <si>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</si>
  <si>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</si>
  <si>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</si>
  <si>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</si>
  <si>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</si>
  <si>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</si>
  <si>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</si>
  <si>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</si>
  <si>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</si>
  <si>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</si>
  <si>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</si>
  <si>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</si>
  <si>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</si>
  <si>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</si>
  <si>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</si>
  <si>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</si>
  <si>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</si>
  <si>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</si>
  <si>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</si>
  <si>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</si>
  <si>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</si>
  <si>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</si>
  <si>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</si>
  <si>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</si>
  <si>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</si>
  <si>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</si>
  <si>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</si>
  <si>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</si>
  <si>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</si>
  <si>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</si>
  <si>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</si>
  <si>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</si>
  <si>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</si>
  <si>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</si>
  <si>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</si>
  <si>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</si>
  <si>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</si>
  <si>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</si>
  <si>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</si>
  <si>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</si>
  <si>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</si>
  <si>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</si>
  <si>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</si>
  <si>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</si>
  <si>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</si>
  <si>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</si>
  <si>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</si>
  <si>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</si>
  <si>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</si>
  <si>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</si>
  <si>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</si>
  <si>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</si>
  <si>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</si>
  <si>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</si>
  <si>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</si>
  <si>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</si>
  <si>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</si>
  <si>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</si>
  <si>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</si>
  <si>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</si>
  <si>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</si>
  <si>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</si>
  <si>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</si>
  <si>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</si>
  <si>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</si>
  <si>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</si>
  <si>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</si>
  <si>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</si>
  <si>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</si>
  <si>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</si>
  <si>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</si>
  <si>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</si>
  <si>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</si>
  <si>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</si>
  <si>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</si>
  <si>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</si>
  <si>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</si>
  <si>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</si>
  <si>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</si>
  <si>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</si>
  <si>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</si>
  <si>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</si>
  <si>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</si>
  <si>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</si>
  <si>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</si>
  <si>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</si>
  <si>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</si>
  <si>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</si>
  <si>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</si>
  <si>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</si>
  <si>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</si>
  <si>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</si>
  <si>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</si>
  <si>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</si>
  <si>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</si>
  <si>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</si>
  <si>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</si>
  <si>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</si>
  <si>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</si>
  <si>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</si>
  <si>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</si>
  <si>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</si>
  <si>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</si>
  <si>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</si>
  <si>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</si>
  <si>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</si>
  <si>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</si>
  <si>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</si>
  <si>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</si>
  <si>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</si>
  <si>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</si>
  <si>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</si>
  <si>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</si>
  <si>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</si>
  <si>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</si>
  <si>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</si>
  <si>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</si>
  <si>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</si>
  <si>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</si>
  <si>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</si>
  <si>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</si>
  <si>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</si>
  <si>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</si>
  <si>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</si>
  <si>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</si>
  <si>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</si>
  <si>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</si>
  <si>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</si>
  <si>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</si>
  <si>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</si>
  <si>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</si>
  <si>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</si>
  <si>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</si>
  <si>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</si>
  <si>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</si>
  <si>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</si>
  <si>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</si>
  <si>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</si>
  <si>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</si>
  <si>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</si>
  <si>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</si>
  <si>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</si>
  <si>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</si>
  <si>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</si>
  <si>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</si>
  <si>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</si>
  <si>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</si>
  <si>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</si>
  <si>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</si>
  <si>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</si>
  <si>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</si>
  <si>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</si>
  <si>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</si>
  <si>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</si>
  <si>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</si>
  <si>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</si>
  <si>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</si>
  <si>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</si>
  <si>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</si>
  <si>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</si>
  <si>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</si>
  <si>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</si>
  <si>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</si>
  <si>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</si>
  <si>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</si>
  <si>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</si>
  <si>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</si>
  <si>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</si>
  <si>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</si>
  <si>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</si>
  <si>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</si>
  <si>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</si>
  <si>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</si>
  <si>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</si>
  <si>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</si>
  <si>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</si>
  <si>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</si>
  <si>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</si>
  <si>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</si>
  <si>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</si>
  <si>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</si>
  <si>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</si>
  <si>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</si>
  <si>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</si>
  <si>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</si>
  <si>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</si>
  <si>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</si>
  <si>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</si>
  <si>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</si>
  <si>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</si>
  <si>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</si>
  <si>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</si>
  <si>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</si>
  <si>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</si>
  <si>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</si>
  <si>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</si>
  <si>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</si>
  <si>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</si>
  <si>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</si>
  <si>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</si>
  <si>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</si>
  <si>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</si>
  <si>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</si>
  <si>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</si>
  <si>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</si>
  <si>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</si>
  <si>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</si>
  <si>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</si>
  <si>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</si>
  <si>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</si>
  <si>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</si>
  <si>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</si>
  <si>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</si>
  <si>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</si>
  <si>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</si>
  <si>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</si>
  <si>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</si>
  <si>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</si>
  <si>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</si>
  <si>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</si>
  <si>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</si>
  <si>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</si>
  <si>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</si>
  <si>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</si>
  <si>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</si>
  <si>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</si>
  <si>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</si>
  <si>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</si>
  <si>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</si>
  <si>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</si>
  <si>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</si>
  <si>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</si>
  <si>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</si>
  <si>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</si>
  <si>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</si>
  <si>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</si>
  <si>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</si>
  <si>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</si>
  <si>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</si>
  <si>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</si>
  <si>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</si>
  <si>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</si>
  <si>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</si>
  <si>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</si>
  <si>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</si>
  <si>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</si>
  <si>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</si>
  <si>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</si>
  <si>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</si>
  <si>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</si>
  <si>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</si>
  <si>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</si>
  <si>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</si>
  <si>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</si>
  <si>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</si>
  <si>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</si>
  <si>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</si>
  <si>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</si>
  <si>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</si>
  <si>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</si>
  <si>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</si>
  <si>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</si>
  <si>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</si>
  <si>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</si>
  <si>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</si>
  <si>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</si>
  <si>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</si>
  <si>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</si>
  <si>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</si>
  <si>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</si>
  <si>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</si>
  <si>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</si>
  <si>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</si>
  <si>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</si>
  <si>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</si>
  <si>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</si>
  <si>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</si>
  <si>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</si>
  <si>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</si>
  <si>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</si>
  <si>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</si>
  <si>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</si>
  <si>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</si>
  <si>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</si>
  <si>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</si>
  <si>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</si>
  <si>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</si>
  <si>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</si>
  <si>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</si>
  <si>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</si>
  <si>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</si>
  <si>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</si>
  <si>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</si>
  <si>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</si>
  <si>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</si>
  <si>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</si>
  <si>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</si>
  <si>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</si>
  <si>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</si>
  <si>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</si>
  <si>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</si>
  <si>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</si>
  <si>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</si>
  <si>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</si>
  <si>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</si>
  <si>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</si>
  <si>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</si>
  <si>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</si>
  <si>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</si>
  <si>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</si>
  <si>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</si>
  <si>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</si>
  <si>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</si>
  <si>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</si>
  <si>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</si>
  <si>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</si>
  <si>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</si>
  <si>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</si>
  <si>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</si>
  <si>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</si>
  <si>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</si>
  <si>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</si>
  <si>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</si>
  <si>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</si>
  <si>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</si>
  <si>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</si>
  <si>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</si>
  <si>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</si>
  <si>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</si>
  <si>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</si>
  <si>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</si>
  <si>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</si>
  <si>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</si>
  <si>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</si>
  <si>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</si>
  <si>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</si>
  <si>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</si>
  <si>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</si>
  <si>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</si>
  <si>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</si>
  <si>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</si>
  <si>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</si>
  <si>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</si>
  <si>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</si>
  <si>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</si>
  <si>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</si>
  <si>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</si>
  <si>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</si>
  <si>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</si>
  <si>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</si>
  <si>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</si>
  <si>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</si>
  <si>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</si>
  <si>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</si>
  <si>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</si>
  <si>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</si>
  <si>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</si>
  <si>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</si>
  <si>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</si>
  <si>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</si>
  <si>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</si>
  <si>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</si>
  <si>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</si>
  <si>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</si>
  <si>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</si>
  <si>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</si>
  <si>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</si>
  <si>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</si>
  <si>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</si>
  <si>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</si>
  <si>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</si>
  <si>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</si>
  <si>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</si>
  <si>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</si>
  <si>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</si>
  <si>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</si>
  <si>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</si>
  <si>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</si>
  <si>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</si>
  <si>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</si>
  <si>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</si>
  <si>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</si>
  <si>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</si>
  <si>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</si>
  <si>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</si>
  <si>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</si>
  <si>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</si>
  <si>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</si>
  <si>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</si>
  <si>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</si>
  <si>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</si>
  <si>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</si>
  <si>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</si>
  <si>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</si>
  <si>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</si>
  <si>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</si>
  <si>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</si>
  <si>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</si>
  <si>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</si>
  <si>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</si>
  <si>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</si>
  <si>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</si>
  <si>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</si>
  <si>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</si>
  <si>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</si>
  <si>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</si>
  <si>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</si>
  <si>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</si>
  <si>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</si>
  <si>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</si>
  <si>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</si>
  <si>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</si>
  <si>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</si>
  <si>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</si>
  <si>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</si>
  <si>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</si>
  <si>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</si>
  <si>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</si>
  <si>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</si>
  <si>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</si>
  <si>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</si>
  <si>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</si>
  <si>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</si>
  <si>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</si>
  <si>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</si>
  <si>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</si>
  <si>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</si>
  <si>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</si>
  <si>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</si>
  <si>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</si>
  <si>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</si>
  <si>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</si>
  <si>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</si>
  <si>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</si>
  <si>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</si>
  <si>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</si>
  <si>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</si>
  <si>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</si>
  <si>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</si>
  <si>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</si>
  <si>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</si>
  <si>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</si>
  <si>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</si>
  <si>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</si>
  <si>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</si>
  <si>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</si>
  <si>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</si>
  <si>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</si>
  <si>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</si>
  <si>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</si>
  <si>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</si>
  <si>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</si>
  <si>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</si>
  <si>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</si>
  <si>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</si>
  <si>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</si>
  <si>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</si>
  <si>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</si>
  <si>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</si>
  <si>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</si>
  <si>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</si>
  <si>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</si>
  <si>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</si>
  <si>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</si>
  <si>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</si>
  <si>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</si>
  <si>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</si>
  <si>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</si>
  <si>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</si>
  <si>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</si>
  <si>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</si>
  <si>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</si>
  <si>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</si>
  <si>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</si>
  <si>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</si>
  <si>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</si>
  <si>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</si>
  <si>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</si>
  <si>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</si>
  <si>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</si>
  <si>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</si>
  <si>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</si>
  <si>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</si>
  <si>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</si>
  <si>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</si>
  <si>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</si>
  <si>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50038</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</si>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</sst>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190</v>
      </c>
    </row>
    <row r="13" spans="1:6" x14ac:dyDescent="0.2">
      <c r="B13" s="232" t="s">
        <v>50</v>
      </c>
      <c r="C13" s="378" t="s">
        <v>142</v>
      </c>
    </row>
    <row r="14" spans="1:6" x14ac:dyDescent="0.2">
      <c r="B14" s="232" t="s">
        <v>51</v>
      </c>
      <c r="C14" s="378" t="s">
        <v>499</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2" sqref="D5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0</v>
      </c>
      <c r="E5" s="106">
        <f>'Pt 2 Premium and Claims'!E5+'Pt 2 Premium and Claims'!E6-'Pt 2 Premium and Claims'!E7-'Pt 2 Premium and Claims'!E13+'Pt 2 Premium and Claims'!E14+'Pt 2 Premium and Claims'!E15+'Pt 2 Premium and Claims'!E16+'Pt 2 Premium and Claims'!E17</f>
        <v>0</v>
      </c>
      <c r="F5" s="106"/>
      <c r="G5" s="106"/>
      <c r="H5" s="106"/>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11172</v>
      </c>
      <c r="K5" s="106">
        <f>'Pt 2 Premium and Claims'!K5+'Pt 2 Premium and Claims'!K6-'Pt 2 Premium and Claims'!K7-'Pt 2 Premium and Claims'!K13+'Pt 2 Premium and Claims'!K14+'Pt 2 Premium and Claims'!K15+'Pt 2 Premium and Claims'!K16+'Pt 2 Premium and Claims'!K17</f>
        <v>11172</v>
      </c>
      <c r="L5" s="106"/>
      <c r="M5" s="106"/>
      <c r="N5" s="106"/>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f>
        <v>137120</v>
      </c>
      <c r="Q5" s="106">
        <f>'Pt 2 Premium and Claims'!Q5+'Pt 2 Premium and Claims'!Q6-'Pt 2 Premium and Claims'!Q7-'Pt 2 Premium and Claims'!Q13+'Pt 2 Premium and Claims'!Q14</f>
        <v>138529</v>
      </c>
      <c r="R5" s="106"/>
      <c r="S5" s="106"/>
      <c r="T5" s="106"/>
      <c r="U5" s="105">
        <f>'Pt 2 Premium and Claims'!U5+'Pt 2 Premium and Claims'!U6-'Pt 2 Premium and Claims'!U7-'Pt 2 Premium and Claims'!U13+'Pt 2 Premium and Claims'!U14</f>
        <v>0</v>
      </c>
      <c r="V5" s="106">
        <f>'Pt 2 Premium and Claims'!V5+'Pt 2 Premium and Claims'!V6-'Pt 2 Premium and Claims'!V7-'Pt 2 Premium and Claims'!V13+'Pt 2 Premium and Claims'!V14</f>
        <v>0</v>
      </c>
      <c r="W5" s="106"/>
      <c r="X5" s="105">
        <f>'Pt 2 Premium and Claims'!X5+'Pt 2 Premium and Claims'!X6-'Pt 2 Premium and Claims'!X7-'Pt 2 Premium and Claims'!X13+'Pt 2 Premium and Claims'!X14</f>
        <v>0</v>
      </c>
      <c r="Y5" s="106">
        <f>'Pt 2 Premium and Claims'!Y5+'Pt 2 Premium and Claims'!Y6-'Pt 2 Premium and Claims'!Y7-'Pt 2 Premium and Claims'!Y13+'Pt 2 Premium and Claims'!Y14</f>
        <v>0</v>
      </c>
      <c r="Z5" s="106"/>
      <c r="AA5" s="105">
        <f>'Pt 2 Premium and Claims'!AA5+'Pt 2 Premium and Claims'!AA6-'Pt 2 Premium and Claims'!AA7-'Pt 2 Premium and Claims'!AA13+'Pt 2 Premium and Claims'!AA14</f>
        <v>0</v>
      </c>
      <c r="AB5" s="106">
        <f>'Pt 2 Premium and Claims'!AB5+'Pt 2 Premium and Claims'!AB6-'Pt 2 Premium and Claims'!AB7-'Pt 2 Premium and Claims'!AB13+'Pt 2 Premium and Claims'!AB14</f>
        <v>0</v>
      </c>
      <c r="AC5" s="106"/>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f>
        <v>0</v>
      </c>
      <c r="AT5" s="107">
        <f>'Pt 2 Premium and Claims'!AT5+'Pt 2 Premium and Claims'!AT6-'Pt 2 Premium and Claims'!AT7-'Pt 2 Premium and Claims'!AT13+'Pt 2 Premium and Claims'!AT14</f>
        <v>579596</v>
      </c>
      <c r="AU5" s="107">
        <f>'Pt 2 Premium and Claims'!AU5+'Pt 2 Premium and Claims'!AU6-'Pt 2 Premium and Claims'!AU7-'Pt 2 Premium and Claims'!AU13+'Pt 2 Premium and Claims'!AU14</f>
        <v>0</v>
      </c>
      <c r="AV5" s="108"/>
      <c r="AW5" s="317"/>
    </row>
    <row r="6" spans="1:49" x14ac:dyDescent="0.2">
      <c r="B6" s="155" t="s">
        <v>223</v>
      </c>
      <c r="C6" s="62" t="s">
        <v>12</v>
      </c>
      <c r="D6" s="109">
        <v>0</v>
      </c>
      <c r="E6" s="110">
        <f>D6</f>
        <v>0</v>
      </c>
      <c r="F6" s="110"/>
      <c r="G6" s="111"/>
      <c r="H6" s="111"/>
      <c r="I6" s="112">
        <v>0</v>
      </c>
      <c r="J6" s="109">
        <v>0</v>
      </c>
      <c r="K6" s="110">
        <f>J6</f>
        <v>0</v>
      </c>
      <c r="L6" s="110"/>
      <c r="M6" s="111"/>
      <c r="N6" s="111"/>
      <c r="O6" s="112">
        <v>0</v>
      </c>
      <c r="P6" s="109">
        <v>0</v>
      </c>
      <c r="Q6" s="110">
        <f>P6</f>
        <v>0</v>
      </c>
      <c r="R6" s="110"/>
      <c r="S6" s="111"/>
      <c r="T6" s="111"/>
      <c r="U6" s="109">
        <v>0</v>
      </c>
      <c r="V6" s="110">
        <f>U6</f>
        <v>0</v>
      </c>
      <c r="W6" s="110"/>
      <c r="X6" s="109">
        <v>0</v>
      </c>
      <c r="Y6" s="110">
        <f>X6</f>
        <v>0</v>
      </c>
      <c r="Z6" s="110"/>
      <c r="AA6" s="109">
        <v>0</v>
      </c>
      <c r="AB6" s="110">
        <f>AA6</f>
        <v>0</v>
      </c>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f>D7</f>
        <v>0</v>
      </c>
      <c r="F7" s="110"/>
      <c r="G7" s="110"/>
      <c r="H7" s="110"/>
      <c r="I7" s="109">
        <v>0</v>
      </c>
      <c r="J7" s="109">
        <v>87</v>
      </c>
      <c r="K7" s="110">
        <f>J7</f>
        <v>87</v>
      </c>
      <c r="L7" s="110"/>
      <c r="M7" s="110"/>
      <c r="N7" s="110"/>
      <c r="O7" s="109">
        <v>0</v>
      </c>
      <c r="P7" s="109">
        <v>1068</v>
      </c>
      <c r="Q7" s="110">
        <f>P7</f>
        <v>1068</v>
      </c>
      <c r="R7" s="110"/>
      <c r="S7" s="110"/>
      <c r="T7" s="110"/>
      <c r="U7" s="109">
        <v>0</v>
      </c>
      <c r="V7" s="110">
        <f>U7</f>
        <v>0</v>
      </c>
      <c r="W7" s="110"/>
      <c r="X7" s="109">
        <v>0</v>
      </c>
      <c r="Y7" s="110">
        <f>X7</f>
        <v>0</v>
      </c>
      <c r="Z7" s="110"/>
      <c r="AA7" s="109">
        <v>0</v>
      </c>
      <c r="AB7" s="110">
        <f>AA7</f>
        <v>0</v>
      </c>
      <c r="AC7" s="110"/>
      <c r="AD7" s="109"/>
      <c r="AE7" s="291"/>
      <c r="AF7" s="291"/>
      <c r="AG7" s="291"/>
      <c r="AH7" s="291"/>
      <c r="AI7" s="109"/>
      <c r="AJ7" s="291"/>
      <c r="AK7" s="291"/>
      <c r="AL7" s="291"/>
      <c r="AM7" s="291"/>
      <c r="AN7" s="109"/>
      <c r="AO7" s="110"/>
      <c r="AP7" s="110"/>
      <c r="AQ7" s="110"/>
      <c r="AR7" s="110"/>
      <c r="AS7" s="109">
        <v>0</v>
      </c>
      <c r="AT7" s="113">
        <v>4514</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10891</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-424</v>
      </c>
      <c r="E12" s="106">
        <f>'Pt 2 Premium and Claims'!E54</f>
        <v>-424</v>
      </c>
      <c r="F12" s="106"/>
      <c r="G12" s="106"/>
      <c r="H12" s="106"/>
      <c r="I12" s="105">
        <f>'Pt 2 Premium and Claims'!I54</f>
        <v>0</v>
      </c>
      <c r="J12" s="105">
        <f>'Pt 2 Premium and Claims'!J54</f>
        <v>-59400</v>
      </c>
      <c r="K12" s="106">
        <f>'Pt 2 Premium and Claims'!K54</f>
        <v>-38463</v>
      </c>
      <c r="L12" s="106"/>
      <c r="M12" s="106"/>
      <c r="N12" s="106"/>
      <c r="O12" s="105">
        <f>'Pt 2 Premium and Claims'!O54</f>
        <v>0</v>
      </c>
      <c r="P12" s="105">
        <f>'Pt 2 Premium and Claims'!P54</f>
        <v>-16289</v>
      </c>
      <c r="Q12" s="106">
        <f>'Pt 2 Premium and Claims'!Q54</f>
        <v>125940</v>
      </c>
      <c r="R12" s="106"/>
      <c r="S12" s="106"/>
      <c r="T12" s="106"/>
      <c r="U12" s="105">
        <f>'Pt 2 Premium and Claims'!U54</f>
        <v>0</v>
      </c>
      <c r="V12" s="106">
        <f>'Pt 2 Premium and Claims'!V54</f>
        <v>0</v>
      </c>
      <c r="W12" s="106"/>
      <c r="X12" s="105">
        <f>'Pt 2 Premium and Claims'!X54</f>
        <v>0</v>
      </c>
      <c r="Y12" s="106">
        <f>'Pt 2 Premium and Claims'!Y54</f>
        <v>0</v>
      </c>
      <c r="Z12" s="106"/>
      <c r="AA12" s="105">
        <f>'Pt 2 Premium and Claims'!AA54</f>
        <v>235</v>
      </c>
      <c r="AB12" s="106">
        <f>'Pt 2 Premium and Claims'!AB54</f>
        <v>0</v>
      </c>
      <c r="AC12" s="106"/>
      <c r="AD12" s="105"/>
      <c r="AE12" s="295"/>
      <c r="AF12" s="295"/>
      <c r="AG12" s="295"/>
      <c r="AH12" s="296"/>
      <c r="AI12" s="105"/>
      <c r="AJ12" s="295"/>
      <c r="AK12" s="295"/>
      <c r="AL12" s="295"/>
      <c r="AM12" s="296"/>
      <c r="AN12" s="105"/>
      <c r="AO12" s="106"/>
      <c r="AP12" s="106"/>
      <c r="AQ12" s="106"/>
      <c r="AR12" s="106"/>
      <c r="AS12" s="105">
        <f>'Pt 2 Premium and Claims'!AS54</f>
        <v>-1011</v>
      </c>
      <c r="AT12" s="107">
        <f>'Pt 2 Premium and Claims'!AT54</f>
        <v>-72378</v>
      </c>
      <c r="AU12" s="107">
        <f>'Pt 2 Premium and Claims'!AU54</f>
        <v>0</v>
      </c>
      <c r="AV12" s="312"/>
      <c r="AW12" s="317"/>
    </row>
    <row r="13" spans="1:49" ht="25.5" x14ac:dyDescent="0.2">
      <c r="B13" s="155" t="s">
        <v>230</v>
      </c>
      <c r="C13" s="62" t="s">
        <v>37</v>
      </c>
      <c r="D13" s="109">
        <v>0</v>
      </c>
      <c r="E13" s="110">
        <v>0</v>
      </c>
      <c r="F13" s="110"/>
      <c r="G13" s="289"/>
      <c r="H13" s="290"/>
      <c r="I13" s="109">
        <v>0</v>
      </c>
      <c r="J13" s="109">
        <v>1100</v>
      </c>
      <c r="K13" s="110">
        <v>0</v>
      </c>
      <c r="L13" s="110"/>
      <c r="M13" s="289"/>
      <c r="N13" s="290"/>
      <c r="O13" s="109">
        <v>0</v>
      </c>
      <c r="P13" s="109">
        <v>801</v>
      </c>
      <c r="Q13" s="110">
        <v>0</v>
      </c>
      <c r="R13" s="110"/>
      <c r="S13" s="289"/>
      <c r="T13" s="290"/>
      <c r="U13" s="109">
        <v>0</v>
      </c>
      <c r="V13" s="110">
        <v>0</v>
      </c>
      <c r="W13" s="110"/>
      <c r="X13" s="109">
        <v>0</v>
      </c>
      <c r="Y13" s="110">
        <v>0</v>
      </c>
      <c r="Z13" s="110"/>
      <c r="AA13" s="109">
        <v>-142</v>
      </c>
      <c r="AB13" s="110">
        <v>0</v>
      </c>
      <c r="AC13" s="110"/>
      <c r="AD13" s="109"/>
      <c r="AE13" s="291"/>
      <c r="AF13" s="291"/>
      <c r="AG13" s="291"/>
      <c r="AH13" s="291"/>
      <c r="AI13" s="109"/>
      <c r="AJ13" s="291"/>
      <c r="AK13" s="291"/>
      <c r="AL13" s="291"/>
      <c r="AM13" s="291"/>
      <c r="AN13" s="109"/>
      <c r="AO13" s="110"/>
      <c r="AP13" s="110"/>
      <c r="AQ13" s="289"/>
      <c r="AR13" s="290"/>
      <c r="AS13" s="109">
        <v>39521</v>
      </c>
      <c r="AT13" s="113">
        <v>0</v>
      </c>
      <c r="AU13" s="113">
        <v>0</v>
      </c>
      <c r="AV13" s="311"/>
      <c r="AW13" s="318"/>
    </row>
    <row r="14" spans="1:49" ht="25.5" x14ac:dyDescent="0.2">
      <c r="B14" s="155" t="s">
        <v>231</v>
      </c>
      <c r="C14" s="62" t="s">
        <v>6</v>
      </c>
      <c r="D14" s="109">
        <v>0</v>
      </c>
      <c r="E14" s="110">
        <v>0</v>
      </c>
      <c r="F14" s="110"/>
      <c r="G14" s="288"/>
      <c r="H14" s="291"/>
      <c r="I14" s="109">
        <v>0</v>
      </c>
      <c r="J14" s="109">
        <v>1</v>
      </c>
      <c r="K14" s="110">
        <v>879</v>
      </c>
      <c r="L14" s="110"/>
      <c r="M14" s="288"/>
      <c r="N14" s="291"/>
      <c r="O14" s="109">
        <v>0</v>
      </c>
      <c r="P14" s="109">
        <v>0</v>
      </c>
      <c r="Q14" s="110">
        <v>6885</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0</v>
      </c>
      <c r="AT14" s="113">
        <v>42</v>
      </c>
      <c r="AU14" s="113">
        <v>0</v>
      </c>
      <c r="AV14" s="311"/>
      <c r="AW14" s="318"/>
    </row>
    <row r="15" spans="1:49" ht="38.25" x14ac:dyDescent="0.2">
      <c r="B15" s="155" t="s">
        <v>232</v>
      </c>
      <c r="C15" s="62" t="s">
        <v>7</v>
      </c>
      <c r="D15" s="109">
        <v>0</v>
      </c>
      <c r="E15" s="110">
        <v>0</v>
      </c>
      <c r="F15" s="110"/>
      <c r="G15" s="288"/>
      <c r="H15" s="294"/>
      <c r="I15" s="109">
        <v>0</v>
      </c>
      <c r="J15" s="109">
        <v>7</v>
      </c>
      <c r="K15" s="110">
        <v>0</v>
      </c>
      <c r="L15" s="110"/>
      <c r="M15" s="288"/>
      <c r="N15" s="294"/>
      <c r="O15" s="109">
        <v>0</v>
      </c>
      <c r="P15" s="109">
        <v>-93</v>
      </c>
      <c r="Q15" s="110">
        <v>45</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-9</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f>'Pt 2 Premium and Claims'!U55</f>
        <v>0</v>
      </c>
      <c r="V22" s="115">
        <f>'Pt 2 Premium and Claims'!V55</f>
        <v>0</v>
      </c>
      <c r="W22" s="115"/>
      <c r="X22" s="114">
        <f>'Pt 2 Premium and Claims'!X55</f>
        <v>0</v>
      </c>
      <c r="Y22" s="115">
        <f>'Pt 2 Premium and Claims'!Y55</f>
        <v>0</v>
      </c>
      <c r="Z22" s="115"/>
      <c r="AA22" s="114">
        <f>'Pt 2 Premium and Claims'!AA55</f>
        <v>0</v>
      </c>
      <c r="AB22" s="115">
        <f>'Pt 2 Premium and Claims'!AB55</f>
        <v>0</v>
      </c>
      <c r="AC22" s="115"/>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-78</v>
      </c>
      <c r="E25" s="110">
        <f>D25</f>
        <v>-78</v>
      </c>
      <c r="F25" s="110"/>
      <c r="G25" s="110"/>
      <c r="H25" s="110"/>
      <c r="I25" s="109">
        <v>0</v>
      </c>
      <c r="J25" s="109">
        <v>-12905</v>
      </c>
      <c r="K25" s="110">
        <f>J25</f>
        <v>-12905</v>
      </c>
      <c r="L25" s="110"/>
      <c r="M25" s="110"/>
      <c r="N25" s="110"/>
      <c r="O25" s="109">
        <v>0</v>
      </c>
      <c r="P25" s="109">
        <v>-27037</v>
      </c>
      <c r="Q25" s="110">
        <f>P25</f>
        <v>-27037</v>
      </c>
      <c r="R25" s="110"/>
      <c r="S25" s="110"/>
      <c r="T25" s="110"/>
      <c r="U25" s="109">
        <v>0</v>
      </c>
      <c r="V25" s="110">
        <f>U25</f>
        <v>0</v>
      </c>
      <c r="W25" s="110"/>
      <c r="X25" s="109">
        <v>0</v>
      </c>
      <c r="Y25" s="110">
        <f>X25</f>
        <v>0</v>
      </c>
      <c r="Z25" s="110"/>
      <c r="AA25" s="109">
        <v>71</v>
      </c>
      <c r="AB25" s="110">
        <f>AA25</f>
        <v>71</v>
      </c>
      <c r="AC25" s="110"/>
      <c r="AD25" s="109"/>
      <c r="AE25" s="291"/>
      <c r="AF25" s="291"/>
      <c r="AG25" s="291"/>
      <c r="AH25" s="294"/>
      <c r="AI25" s="109"/>
      <c r="AJ25" s="291"/>
      <c r="AK25" s="291"/>
      <c r="AL25" s="291"/>
      <c r="AM25" s="294"/>
      <c r="AN25" s="109"/>
      <c r="AO25" s="110"/>
      <c r="AP25" s="110"/>
      <c r="AQ25" s="110"/>
      <c r="AR25" s="110"/>
      <c r="AS25" s="109">
        <v>-186</v>
      </c>
      <c r="AT25" s="113">
        <v>-11303</v>
      </c>
      <c r="AU25" s="113">
        <v>0</v>
      </c>
      <c r="AV25" s="113">
        <v>59790</v>
      </c>
      <c r="AW25" s="318"/>
    </row>
    <row r="26" spans="1:49" s="5" customFormat="1" x14ac:dyDescent="0.2">
      <c r="A26" s="35"/>
      <c r="B26" s="158" t="s">
        <v>243</v>
      </c>
      <c r="C26" s="62"/>
      <c r="D26" s="109">
        <v>0</v>
      </c>
      <c r="E26" s="110">
        <f>D26</f>
        <v>0</v>
      </c>
      <c r="F26" s="110"/>
      <c r="G26" s="110"/>
      <c r="H26" s="110"/>
      <c r="I26" s="109">
        <v>0</v>
      </c>
      <c r="J26" s="109">
        <v>2</v>
      </c>
      <c r="K26" s="110">
        <f>J26</f>
        <v>2</v>
      </c>
      <c r="L26" s="110"/>
      <c r="M26" s="110"/>
      <c r="N26" s="110"/>
      <c r="O26" s="109">
        <v>0</v>
      </c>
      <c r="P26" s="109">
        <v>1501</v>
      </c>
      <c r="Q26" s="110">
        <f>P26</f>
        <v>1501</v>
      </c>
      <c r="R26" s="110"/>
      <c r="S26" s="110"/>
      <c r="T26" s="110"/>
      <c r="U26" s="109">
        <v>0</v>
      </c>
      <c r="V26" s="110">
        <f>U26</f>
        <v>0</v>
      </c>
      <c r="W26" s="110"/>
      <c r="X26" s="109">
        <v>0</v>
      </c>
      <c r="Y26" s="110">
        <f>X26</f>
        <v>0</v>
      </c>
      <c r="Z26" s="110"/>
      <c r="AA26" s="109">
        <v>0</v>
      </c>
      <c r="AB26" s="110">
        <f>AA26</f>
        <v>0</v>
      </c>
      <c r="AC26" s="110"/>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f>D27</f>
        <v>0</v>
      </c>
      <c r="F27" s="110"/>
      <c r="G27" s="110"/>
      <c r="H27" s="110"/>
      <c r="I27" s="109">
        <v>0</v>
      </c>
      <c r="J27" s="109">
        <v>267</v>
      </c>
      <c r="K27" s="110">
        <f>J27</f>
        <v>267</v>
      </c>
      <c r="L27" s="110"/>
      <c r="M27" s="110"/>
      <c r="N27" s="110"/>
      <c r="O27" s="109">
        <v>0</v>
      </c>
      <c r="P27" s="109">
        <v>0</v>
      </c>
      <c r="Q27" s="110">
        <f>P27</f>
        <v>0</v>
      </c>
      <c r="R27" s="110"/>
      <c r="S27" s="110"/>
      <c r="T27" s="110"/>
      <c r="U27" s="109">
        <v>0</v>
      </c>
      <c r="V27" s="110">
        <f>U27</f>
        <v>0</v>
      </c>
      <c r="W27" s="110"/>
      <c r="X27" s="109">
        <v>0</v>
      </c>
      <c r="Y27" s="110">
        <f>X27</f>
        <v>0</v>
      </c>
      <c r="Z27" s="110"/>
      <c r="AA27" s="109">
        <v>0</v>
      </c>
      <c r="AB27" s="110">
        <f>AA27</f>
        <v>0</v>
      </c>
      <c r="AC27" s="110"/>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f>D28</f>
        <v>0</v>
      </c>
      <c r="F28" s="110"/>
      <c r="G28" s="110"/>
      <c r="H28" s="110"/>
      <c r="I28" s="109">
        <v>0</v>
      </c>
      <c r="J28" s="109">
        <v>23</v>
      </c>
      <c r="K28" s="110">
        <f>J28</f>
        <v>23</v>
      </c>
      <c r="L28" s="110"/>
      <c r="M28" s="110"/>
      <c r="N28" s="110"/>
      <c r="O28" s="109">
        <v>0</v>
      </c>
      <c r="P28" s="109">
        <v>0</v>
      </c>
      <c r="Q28" s="110">
        <f>P28</f>
        <v>0</v>
      </c>
      <c r="R28" s="110"/>
      <c r="S28" s="110"/>
      <c r="T28" s="110"/>
      <c r="U28" s="109">
        <v>0</v>
      </c>
      <c r="V28" s="110">
        <f>U28</f>
        <v>0</v>
      </c>
      <c r="W28" s="110"/>
      <c r="X28" s="109">
        <v>0</v>
      </c>
      <c r="Y28" s="110">
        <f>X28</f>
        <v>0</v>
      </c>
      <c r="Z28" s="110"/>
      <c r="AA28" s="109">
        <v>0</v>
      </c>
      <c r="AB28" s="110">
        <f>AA28</f>
        <v>0</v>
      </c>
      <c r="AC28" s="110"/>
      <c r="AD28" s="109"/>
      <c r="AE28" s="291"/>
      <c r="AF28" s="291"/>
      <c r="AG28" s="291"/>
      <c r="AH28" s="291"/>
      <c r="AI28" s="109"/>
      <c r="AJ28" s="291"/>
      <c r="AK28" s="291"/>
      <c r="AL28" s="291"/>
      <c r="AM28" s="291"/>
      <c r="AN28" s="109"/>
      <c r="AO28" s="110"/>
      <c r="AP28" s="110"/>
      <c r="AQ28" s="110"/>
      <c r="AR28" s="110"/>
      <c r="AS28" s="109">
        <v>0</v>
      </c>
      <c r="AT28" s="113">
        <v>11669</v>
      </c>
      <c r="AU28" s="113">
        <v>0</v>
      </c>
      <c r="AV28" s="113">
        <v>28001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f>D30</f>
        <v>0</v>
      </c>
      <c r="F30" s="110"/>
      <c r="G30" s="110"/>
      <c r="H30" s="110"/>
      <c r="I30" s="109">
        <v>0</v>
      </c>
      <c r="J30" s="109">
        <v>35</v>
      </c>
      <c r="K30" s="110">
        <f>J30</f>
        <v>35</v>
      </c>
      <c r="L30" s="110"/>
      <c r="M30" s="110"/>
      <c r="N30" s="110"/>
      <c r="O30" s="109">
        <v>0</v>
      </c>
      <c r="P30" s="109">
        <v>427</v>
      </c>
      <c r="Q30" s="110">
        <f>P30</f>
        <v>427</v>
      </c>
      <c r="R30" s="110"/>
      <c r="S30" s="110"/>
      <c r="T30" s="110"/>
      <c r="U30" s="109">
        <v>0</v>
      </c>
      <c r="V30" s="110">
        <f>U30</f>
        <v>0</v>
      </c>
      <c r="W30" s="110"/>
      <c r="X30" s="109">
        <v>0</v>
      </c>
      <c r="Y30" s="110">
        <f>X30</f>
        <v>0</v>
      </c>
      <c r="Z30" s="110"/>
      <c r="AA30" s="109">
        <v>0</v>
      </c>
      <c r="AB30" s="110">
        <f>AA30</f>
        <v>0</v>
      </c>
      <c r="AC30" s="110"/>
      <c r="AD30" s="109"/>
      <c r="AE30" s="291"/>
      <c r="AF30" s="291"/>
      <c r="AG30" s="291"/>
      <c r="AH30" s="291"/>
      <c r="AI30" s="109"/>
      <c r="AJ30" s="291"/>
      <c r="AK30" s="291"/>
      <c r="AL30" s="291"/>
      <c r="AM30" s="291"/>
      <c r="AN30" s="109"/>
      <c r="AO30" s="110"/>
      <c r="AP30" s="110"/>
      <c r="AQ30" s="110"/>
      <c r="AR30" s="110"/>
      <c r="AS30" s="109">
        <v>0</v>
      </c>
      <c r="AT30" s="113">
        <v>2210</v>
      </c>
      <c r="AU30" s="113">
        <v>0</v>
      </c>
      <c r="AV30" s="113">
        <v>966</v>
      </c>
      <c r="AW30" s="318"/>
    </row>
    <row r="31" spans="1:49" x14ac:dyDescent="0.2">
      <c r="B31" s="158" t="s">
        <v>248</v>
      </c>
      <c r="C31" s="62"/>
      <c r="D31" s="109">
        <v>0</v>
      </c>
      <c r="E31" s="110">
        <f>D31</f>
        <v>0</v>
      </c>
      <c r="F31" s="110"/>
      <c r="G31" s="110"/>
      <c r="H31" s="110"/>
      <c r="I31" s="109">
        <v>0</v>
      </c>
      <c r="J31" s="109">
        <v>212</v>
      </c>
      <c r="K31" s="110">
        <f>J31</f>
        <v>212</v>
      </c>
      <c r="L31" s="110"/>
      <c r="M31" s="110"/>
      <c r="N31" s="110"/>
      <c r="O31" s="109">
        <v>0</v>
      </c>
      <c r="P31" s="109">
        <v>2606</v>
      </c>
      <c r="Q31" s="110">
        <f>P31</f>
        <v>2606</v>
      </c>
      <c r="R31" s="110"/>
      <c r="S31" s="110"/>
      <c r="T31" s="110"/>
      <c r="U31" s="109">
        <v>0</v>
      </c>
      <c r="V31" s="110">
        <f>U31</f>
        <v>0</v>
      </c>
      <c r="W31" s="110"/>
      <c r="X31" s="109">
        <v>0</v>
      </c>
      <c r="Y31" s="110">
        <f>X31</f>
        <v>0</v>
      </c>
      <c r="Z31" s="110"/>
      <c r="AA31" s="109">
        <v>0</v>
      </c>
      <c r="AB31" s="110">
        <f>AA31</f>
        <v>0</v>
      </c>
      <c r="AC31" s="110"/>
      <c r="AD31" s="109"/>
      <c r="AE31" s="291"/>
      <c r="AF31" s="291"/>
      <c r="AG31" s="291"/>
      <c r="AH31" s="291"/>
      <c r="AI31" s="109"/>
      <c r="AJ31" s="291"/>
      <c r="AK31" s="291"/>
      <c r="AL31" s="291"/>
      <c r="AM31" s="291"/>
      <c r="AN31" s="109"/>
      <c r="AO31" s="110"/>
      <c r="AP31" s="110"/>
      <c r="AQ31" s="110"/>
      <c r="AR31" s="110"/>
      <c r="AS31" s="109">
        <v>0</v>
      </c>
      <c r="AT31" s="113">
        <v>11010</v>
      </c>
      <c r="AU31" s="113">
        <v>0</v>
      </c>
      <c r="AV31" s="113">
        <v>0</v>
      </c>
      <c r="AW31" s="318"/>
    </row>
    <row r="32" spans="1:49" ht="25.5" x14ac:dyDescent="0.2">
      <c r="B32" s="158" t="s">
        <v>249</v>
      </c>
      <c r="C32" s="62" t="s">
        <v>82</v>
      </c>
      <c r="D32" s="109"/>
      <c r="E32" s="110">
        <f>D32</f>
        <v>0</v>
      </c>
      <c r="F32" s="110"/>
      <c r="G32" s="110"/>
      <c r="H32" s="110"/>
      <c r="I32" s="109"/>
      <c r="J32" s="109"/>
      <c r="K32" s="110">
        <f>J32</f>
        <v>0</v>
      </c>
      <c r="L32" s="110"/>
      <c r="M32" s="110"/>
      <c r="N32" s="110"/>
      <c r="O32" s="109"/>
      <c r="P32" s="109"/>
      <c r="Q32" s="110">
        <f>P32</f>
        <v>0</v>
      </c>
      <c r="R32" s="110"/>
      <c r="S32" s="110"/>
      <c r="T32" s="110"/>
      <c r="U32" s="109"/>
      <c r="V32" s="110">
        <f>U32</f>
        <v>0</v>
      </c>
      <c r="W32" s="110"/>
      <c r="X32" s="109"/>
      <c r="Y32" s="110">
        <f>X32</f>
        <v>0</v>
      </c>
      <c r="Z32" s="110"/>
      <c r="AA32" s="109"/>
      <c r="AB32" s="110">
        <f>AA32</f>
        <v>0</v>
      </c>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f>D34</f>
        <v>0</v>
      </c>
      <c r="F34" s="110"/>
      <c r="G34" s="110"/>
      <c r="H34" s="110"/>
      <c r="I34" s="109">
        <v>0</v>
      </c>
      <c r="J34" s="109">
        <v>63</v>
      </c>
      <c r="K34" s="110">
        <f>J34</f>
        <v>63</v>
      </c>
      <c r="L34" s="110"/>
      <c r="M34" s="110"/>
      <c r="N34" s="110"/>
      <c r="O34" s="109">
        <v>0</v>
      </c>
      <c r="P34" s="109">
        <v>0</v>
      </c>
      <c r="Q34" s="110">
        <f>P34</f>
        <v>0</v>
      </c>
      <c r="R34" s="110"/>
      <c r="S34" s="110"/>
      <c r="T34" s="110"/>
      <c r="U34" s="109">
        <v>0</v>
      </c>
      <c r="V34" s="110">
        <f>U34</f>
        <v>0</v>
      </c>
      <c r="W34" s="110"/>
      <c r="X34" s="109">
        <v>0</v>
      </c>
      <c r="Y34" s="110">
        <f>X34</f>
        <v>0</v>
      </c>
      <c r="Z34" s="110"/>
      <c r="AA34" s="109">
        <v>0</v>
      </c>
      <c r="AB34" s="110">
        <f>AA34</f>
        <v>0</v>
      </c>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f>D35</f>
        <v>0</v>
      </c>
      <c r="F35" s="110"/>
      <c r="G35" s="110"/>
      <c r="H35" s="110"/>
      <c r="I35" s="109">
        <v>0</v>
      </c>
      <c r="J35" s="109">
        <v>-386</v>
      </c>
      <c r="K35" s="110">
        <f>J35</f>
        <v>-386</v>
      </c>
      <c r="L35" s="110"/>
      <c r="M35" s="110"/>
      <c r="N35" s="110"/>
      <c r="O35" s="109">
        <v>0</v>
      </c>
      <c r="P35" s="109">
        <v>0</v>
      </c>
      <c r="Q35" s="110">
        <f>P35</f>
        <v>0</v>
      </c>
      <c r="R35" s="110"/>
      <c r="S35" s="110"/>
      <c r="T35" s="110"/>
      <c r="U35" s="109">
        <v>0</v>
      </c>
      <c r="V35" s="110">
        <f>U35</f>
        <v>0</v>
      </c>
      <c r="W35" s="110"/>
      <c r="X35" s="109">
        <v>0</v>
      </c>
      <c r="Y35" s="110">
        <f>X35</f>
        <v>0</v>
      </c>
      <c r="Z35" s="110"/>
      <c r="AA35" s="109">
        <v>0</v>
      </c>
      <c r="AB35" s="110">
        <f>AA35</f>
        <v>0</v>
      </c>
      <c r="AC35" s="110"/>
      <c r="AD35" s="109"/>
      <c r="AE35" s="291"/>
      <c r="AF35" s="291"/>
      <c r="AG35" s="291"/>
      <c r="AH35" s="291"/>
      <c r="AI35" s="109"/>
      <c r="AJ35" s="291"/>
      <c r="AK35" s="291"/>
      <c r="AL35" s="291"/>
      <c r="AM35" s="291"/>
      <c r="AN35" s="109"/>
      <c r="AO35" s="110"/>
      <c r="AP35" s="110"/>
      <c r="AQ35" s="110"/>
      <c r="AR35" s="110"/>
      <c r="AS35" s="109">
        <v>0</v>
      </c>
      <c r="AT35" s="113">
        <v>-84</v>
      </c>
      <c r="AU35" s="113">
        <v>0</v>
      </c>
      <c r="AV35" s="113">
        <v>6470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v>10</v>
      </c>
      <c r="K37" s="118">
        <v>10</v>
      </c>
      <c r="L37" s="118"/>
      <c r="M37" s="118"/>
      <c r="N37" s="118"/>
      <c r="O37" s="117">
        <v>0</v>
      </c>
      <c r="P37" s="117">
        <v>-13</v>
      </c>
      <c r="Q37" s="118">
        <v>0</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328</v>
      </c>
      <c r="AU37" s="119">
        <v>0</v>
      </c>
      <c r="AV37" s="119">
        <v>6511</v>
      </c>
      <c r="AW37" s="317"/>
    </row>
    <row r="38" spans="1:49" x14ac:dyDescent="0.2">
      <c r="B38" s="155" t="s">
        <v>255</v>
      </c>
      <c r="C38" s="62" t="s">
        <v>16</v>
      </c>
      <c r="D38" s="109">
        <v>0</v>
      </c>
      <c r="E38" s="110">
        <v>0</v>
      </c>
      <c r="F38" s="110"/>
      <c r="G38" s="110"/>
      <c r="H38" s="110"/>
      <c r="I38" s="109">
        <v>0</v>
      </c>
      <c r="J38" s="109">
        <v>3</v>
      </c>
      <c r="K38" s="110">
        <v>3</v>
      </c>
      <c r="L38" s="110"/>
      <c r="M38" s="110"/>
      <c r="N38" s="110"/>
      <c r="O38" s="109">
        <v>0</v>
      </c>
      <c r="P38" s="109">
        <v>-3</v>
      </c>
      <c r="Q38" s="110">
        <v>0</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14</v>
      </c>
      <c r="AU38" s="113">
        <v>0</v>
      </c>
      <c r="AV38" s="113">
        <v>2947</v>
      </c>
      <c r="AW38" s="318"/>
    </row>
    <row r="39" spans="1:49" x14ac:dyDescent="0.2">
      <c r="B39" s="158" t="s">
        <v>256</v>
      </c>
      <c r="C39" s="62" t="s">
        <v>17</v>
      </c>
      <c r="D39" s="109">
        <v>0</v>
      </c>
      <c r="E39" s="110">
        <v>0</v>
      </c>
      <c r="F39" s="110"/>
      <c r="G39" s="110"/>
      <c r="H39" s="110"/>
      <c r="I39" s="109">
        <v>0</v>
      </c>
      <c r="J39" s="109">
        <v>7</v>
      </c>
      <c r="K39" s="110">
        <v>6</v>
      </c>
      <c r="L39" s="110"/>
      <c r="M39" s="110"/>
      <c r="N39" s="110"/>
      <c r="O39" s="109">
        <v>0</v>
      </c>
      <c r="P39" s="109">
        <v>-13</v>
      </c>
      <c r="Q39" s="110">
        <v>-2</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346</v>
      </c>
      <c r="AU39" s="113">
        <v>0</v>
      </c>
      <c r="AV39" s="113">
        <v>626</v>
      </c>
      <c r="AW39" s="318"/>
    </row>
    <row r="40" spans="1:49" x14ac:dyDescent="0.2">
      <c r="B40" s="158" t="s">
        <v>257</v>
      </c>
      <c r="C40" s="62" t="s">
        <v>38</v>
      </c>
      <c r="D40" s="109">
        <v>0</v>
      </c>
      <c r="E40" s="110">
        <v>0</v>
      </c>
      <c r="F40" s="110"/>
      <c r="G40" s="110"/>
      <c r="H40" s="110"/>
      <c r="I40" s="109">
        <v>0</v>
      </c>
      <c r="J40" s="109">
        <v>6</v>
      </c>
      <c r="K40" s="110">
        <v>6</v>
      </c>
      <c r="L40" s="110"/>
      <c r="M40" s="110"/>
      <c r="N40" s="110"/>
      <c r="O40" s="109">
        <v>0</v>
      </c>
      <c r="P40" s="109">
        <v>-2</v>
      </c>
      <c r="Q40" s="110">
        <v>0</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312</v>
      </c>
      <c r="AU40" s="113">
        <v>0</v>
      </c>
      <c r="AV40" s="113">
        <v>948</v>
      </c>
      <c r="AW40" s="318"/>
    </row>
    <row r="41" spans="1:49" s="5" customFormat="1" ht="25.5" x14ac:dyDescent="0.2">
      <c r="A41" s="35"/>
      <c r="B41" s="158" t="s">
        <v>258</v>
      </c>
      <c r="C41" s="62" t="s">
        <v>129</v>
      </c>
      <c r="D41" s="109">
        <v>0</v>
      </c>
      <c r="E41" s="110">
        <v>0</v>
      </c>
      <c r="F41" s="110"/>
      <c r="G41" s="110"/>
      <c r="H41" s="110"/>
      <c r="I41" s="109">
        <v>0</v>
      </c>
      <c r="J41" s="109">
        <v>5</v>
      </c>
      <c r="K41" s="110">
        <v>5</v>
      </c>
      <c r="L41" s="110"/>
      <c r="M41" s="110"/>
      <c r="N41" s="110"/>
      <c r="O41" s="109">
        <v>0</v>
      </c>
      <c r="P41" s="109">
        <v>0</v>
      </c>
      <c r="Q41" s="110">
        <v>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1164</v>
      </c>
      <c r="AU41" s="113">
        <v>0</v>
      </c>
      <c r="AV41" s="113">
        <v>14996</v>
      </c>
      <c r="AW41" s="318"/>
    </row>
    <row r="42" spans="1:49" s="5" customFormat="1" ht="24.95" customHeight="1" x14ac:dyDescent="0.2">
      <c r="A42" s="35"/>
      <c r="B42" s="155" t="s">
        <v>259</v>
      </c>
      <c r="C42" s="62" t="s">
        <v>87</v>
      </c>
      <c r="D42" s="109">
        <v>0</v>
      </c>
      <c r="E42" s="110">
        <f>D42</f>
        <v>0</v>
      </c>
      <c r="F42" s="110"/>
      <c r="G42" s="110"/>
      <c r="H42" s="110"/>
      <c r="I42" s="109">
        <v>0</v>
      </c>
      <c r="J42" s="109">
        <v>1</v>
      </c>
      <c r="K42" s="110">
        <f>J42</f>
        <v>1</v>
      </c>
      <c r="L42" s="110"/>
      <c r="M42" s="110"/>
      <c r="N42" s="110"/>
      <c r="O42" s="109">
        <v>0</v>
      </c>
      <c r="P42" s="109">
        <v>0</v>
      </c>
      <c r="Q42" s="110">
        <f>P42</f>
        <v>0</v>
      </c>
      <c r="R42" s="110"/>
      <c r="S42" s="110"/>
      <c r="T42" s="110"/>
      <c r="U42" s="109">
        <v>0</v>
      </c>
      <c r="V42" s="110">
        <f>U42</f>
        <v>0</v>
      </c>
      <c r="W42" s="110"/>
      <c r="X42" s="109">
        <v>0</v>
      </c>
      <c r="Y42" s="110">
        <f>X42</f>
        <v>0</v>
      </c>
      <c r="Z42" s="110"/>
      <c r="AA42" s="109">
        <v>0</v>
      </c>
      <c r="AB42" s="110">
        <f>AA42</f>
        <v>0</v>
      </c>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2742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-238</v>
      </c>
      <c r="K44" s="118">
        <v>-10</v>
      </c>
      <c r="L44" s="118"/>
      <c r="M44" s="118"/>
      <c r="N44" s="118"/>
      <c r="O44" s="117">
        <v>0</v>
      </c>
      <c r="P44" s="117">
        <v>1117</v>
      </c>
      <c r="Q44" s="118">
        <v>-3</v>
      </c>
      <c r="R44" s="118"/>
      <c r="S44" s="118"/>
      <c r="T44" s="118"/>
      <c r="U44" s="117">
        <v>0</v>
      </c>
      <c r="V44" s="118">
        <v>0</v>
      </c>
      <c r="W44" s="118"/>
      <c r="X44" s="117">
        <v>0</v>
      </c>
      <c r="Y44" s="118">
        <v>0</v>
      </c>
      <c r="Z44" s="118"/>
      <c r="AA44" s="117">
        <v>-162</v>
      </c>
      <c r="AB44" s="118">
        <v>0</v>
      </c>
      <c r="AC44" s="118"/>
      <c r="AD44" s="117"/>
      <c r="AE44" s="295"/>
      <c r="AF44" s="295"/>
      <c r="AG44" s="295"/>
      <c r="AH44" s="296"/>
      <c r="AI44" s="117"/>
      <c r="AJ44" s="295"/>
      <c r="AK44" s="295"/>
      <c r="AL44" s="295"/>
      <c r="AM44" s="296"/>
      <c r="AN44" s="117"/>
      <c r="AO44" s="118"/>
      <c r="AP44" s="118"/>
      <c r="AQ44" s="118"/>
      <c r="AR44" s="118"/>
      <c r="AS44" s="117">
        <v>0</v>
      </c>
      <c r="AT44" s="119">
        <v>9219</v>
      </c>
      <c r="AU44" s="119">
        <v>0</v>
      </c>
      <c r="AV44" s="119">
        <v>75522</v>
      </c>
      <c r="AW44" s="317"/>
    </row>
    <row r="45" spans="1:49" x14ac:dyDescent="0.2">
      <c r="B45" s="161" t="s">
        <v>262</v>
      </c>
      <c r="C45" s="62" t="s">
        <v>19</v>
      </c>
      <c r="D45" s="109">
        <v>0</v>
      </c>
      <c r="E45" s="110">
        <f>D45</f>
        <v>0</v>
      </c>
      <c r="F45" s="110"/>
      <c r="G45" s="110"/>
      <c r="H45" s="110"/>
      <c r="I45" s="109">
        <v>0</v>
      </c>
      <c r="J45" s="109">
        <v>-21</v>
      </c>
      <c r="K45" s="110">
        <f>J45</f>
        <v>-21</v>
      </c>
      <c r="L45" s="110"/>
      <c r="M45" s="110"/>
      <c r="N45" s="110"/>
      <c r="O45" s="109">
        <v>0</v>
      </c>
      <c r="P45" s="109">
        <v>0</v>
      </c>
      <c r="Q45" s="110">
        <f>P45</f>
        <v>0</v>
      </c>
      <c r="R45" s="110"/>
      <c r="S45" s="110"/>
      <c r="T45" s="110"/>
      <c r="U45" s="109">
        <v>0</v>
      </c>
      <c r="V45" s="110">
        <f>U45</f>
        <v>0</v>
      </c>
      <c r="W45" s="110"/>
      <c r="X45" s="109">
        <v>0</v>
      </c>
      <c r="Y45" s="110">
        <f>X45</f>
        <v>0</v>
      </c>
      <c r="Z45" s="110"/>
      <c r="AA45" s="109">
        <v>0</v>
      </c>
      <c r="AB45" s="110">
        <f>AA45</f>
        <v>0</v>
      </c>
      <c r="AC45" s="110"/>
      <c r="AD45" s="109"/>
      <c r="AE45" s="291"/>
      <c r="AF45" s="291"/>
      <c r="AG45" s="291"/>
      <c r="AH45" s="291"/>
      <c r="AI45" s="109"/>
      <c r="AJ45" s="291"/>
      <c r="AK45" s="291"/>
      <c r="AL45" s="291"/>
      <c r="AM45" s="291"/>
      <c r="AN45" s="109"/>
      <c r="AO45" s="110"/>
      <c r="AP45" s="110"/>
      <c r="AQ45" s="110"/>
      <c r="AR45" s="110"/>
      <c r="AS45" s="109">
        <v>0</v>
      </c>
      <c r="AT45" s="113">
        <v>-16341</v>
      </c>
      <c r="AU45" s="113">
        <v>0</v>
      </c>
      <c r="AV45" s="113">
        <v>-2495</v>
      </c>
      <c r="AW45" s="318"/>
    </row>
    <row r="46" spans="1:49" x14ac:dyDescent="0.2">
      <c r="B46" s="161" t="s">
        <v>263</v>
      </c>
      <c r="C46" s="62" t="s">
        <v>20</v>
      </c>
      <c r="D46" s="109">
        <v>0</v>
      </c>
      <c r="E46" s="110">
        <f>D46</f>
        <v>0</v>
      </c>
      <c r="F46" s="110"/>
      <c r="G46" s="110"/>
      <c r="H46" s="110"/>
      <c r="I46" s="109">
        <v>0</v>
      </c>
      <c r="J46" s="109">
        <v>20</v>
      </c>
      <c r="K46" s="110">
        <f>J46</f>
        <v>20</v>
      </c>
      <c r="L46" s="110"/>
      <c r="M46" s="110"/>
      <c r="N46" s="110"/>
      <c r="O46" s="109">
        <v>0</v>
      </c>
      <c r="P46" s="109">
        <v>0</v>
      </c>
      <c r="Q46" s="110">
        <f>P46</f>
        <v>0</v>
      </c>
      <c r="R46" s="110"/>
      <c r="S46" s="110"/>
      <c r="T46" s="110"/>
      <c r="U46" s="109">
        <v>0</v>
      </c>
      <c r="V46" s="110">
        <f>U46</f>
        <v>0</v>
      </c>
      <c r="W46" s="110"/>
      <c r="X46" s="109">
        <v>0</v>
      </c>
      <c r="Y46" s="110">
        <f>X46</f>
        <v>0</v>
      </c>
      <c r="Z46" s="110"/>
      <c r="AA46" s="109">
        <v>0</v>
      </c>
      <c r="AB46" s="110">
        <f>AA46</f>
        <v>0</v>
      </c>
      <c r="AC46" s="110"/>
      <c r="AD46" s="109"/>
      <c r="AE46" s="291"/>
      <c r="AF46" s="291"/>
      <c r="AG46" s="291"/>
      <c r="AH46" s="291"/>
      <c r="AI46" s="109"/>
      <c r="AJ46" s="291"/>
      <c r="AK46" s="291"/>
      <c r="AL46" s="291"/>
      <c r="AM46" s="291"/>
      <c r="AN46" s="109"/>
      <c r="AO46" s="110"/>
      <c r="AP46" s="110"/>
      <c r="AQ46" s="110"/>
      <c r="AR46" s="110"/>
      <c r="AS46" s="109">
        <v>0</v>
      </c>
      <c r="AT46" s="113">
        <v>38670</v>
      </c>
      <c r="AU46" s="113">
        <v>0</v>
      </c>
      <c r="AV46" s="113">
        <v>46052</v>
      </c>
      <c r="AW46" s="318"/>
    </row>
    <row r="47" spans="1:49" x14ac:dyDescent="0.2">
      <c r="B47" s="161" t="s">
        <v>264</v>
      </c>
      <c r="C47" s="62" t="s">
        <v>21</v>
      </c>
      <c r="D47" s="109">
        <v>0</v>
      </c>
      <c r="E47" s="110">
        <f>D47</f>
        <v>0</v>
      </c>
      <c r="F47" s="110"/>
      <c r="G47" s="110"/>
      <c r="H47" s="110"/>
      <c r="I47" s="109">
        <v>0</v>
      </c>
      <c r="J47" s="109">
        <v>172</v>
      </c>
      <c r="K47" s="110">
        <f>J47</f>
        <v>172</v>
      </c>
      <c r="L47" s="110"/>
      <c r="M47" s="110"/>
      <c r="N47" s="110"/>
      <c r="O47" s="109">
        <v>0</v>
      </c>
      <c r="P47" s="109">
        <v>2106</v>
      </c>
      <c r="Q47" s="110">
        <f>P47</f>
        <v>2106</v>
      </c>
      <c r="R47" s="110"/>
      <c r="S47" s="110"/>
      <c r="T47" s="110"/>
      <c r="U47" s="109">
        <v>0</v>
      </c>
      <c r="V47" s="110">
        <f>U47</f>
        <v>0</v>
      </c>
      <c r="W47" s="110"/>
      <c r="X47" s="109">
        <v>0</v>
      </c>
      <c r="Y47" s="110">
        <f>X47</f>
        <v>0</v>
      </c>
      <c r="Z47" s="110"/>
      <c r="AA47" s="109">
        <v>312</v>
      </c>
      <c r="AB47" s="110">
        <f>AA47</f>
        <v>312</v>
      </c>
      <c r="AC47" s="110"/>
      <c r="AD47" s="109"/>
      <c r="AE47" s="291"/>
      <c r="AF47" s="291"/>
      <c r="AG47" s="291"/>
      <c r="AH47" s="291"/>
      <c r="AI47" s="109"/>
      <c r="AJ47" s="291"/>
      <c r="AK47" s="291"/>
      <c r="AL47" s="291"/>
      <c r="AM47" s="291"/>
      <c r="AN47" s="109"/>
      <c r="AO47" s="110"/>
      <c r="AP47" s="110"/>
      <c r="AQ47" s="110"/>
      <c r="AR47" s="110"/>
      <c r="AS47" s="109">
        <v>0</v>
      </c>
      <c r="AT47" s="113">
        <v>8899</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f>D49</f>
        <v>0</v>
      </c>
      <c r="F49" s="110"/>
      <c r="G49" s="110"/>
      <c r="H49" s="110"/>
      <c r="I49" s="109">
        <v>0</v>
      </c>
      <c r="J49" s="109">
        <v>-1014</v>
      </c>
      <c r="K49" s="110">
        <f>J49</f>
        <v>-1014</v>
      </c>
      <c r="L49" s="110"/>
      <c r="M49" s="110"/>
      <c r="N49" s="110"/>
      <c r="O49" s="109">
        <v>0</v>
      </c>
      <c r="P49" s="109">
        <v>0</v>
      </c>
      <c r="Q49" s="110">
        <f>P49</f>
        <v>0</v>
      </c>
      <c r="R49" s="110"/>
      <c r="S49" s="110"/>
      <c r="T49" s="110"/>
      <c r="U49" s="109">
        <v>0</v>
      </c>
      <c r="V49" s="110">
        <f>U49</f>
        <v>0</v>
      </c>
      <c r="W49" s="110"/>
      <c r="X49" s="109">
        <v>0</v>
      </c>
      <c r="Y49" s="110">
        <f>X49</f>
        <v>0</v>
      </c>
      <c r="Z49" s="110"/>
      <c r="AA49" s="109">
        <v>0</v>
      </c>
      <c r="AB49" s="110">
        <f>AA49</f>
        <v>0</v>
      </c>
      <c r="AC49" s="110"/>
      <c r="AD49" s="109"/>
      <c r="AE49" s="291"/>
      <c r="AF49" s="291"/>
      <c r="AG49" s="291"/>
      <c r="AH49" s="291"/>
      <c r="AI49" s="109"/>
      <c r="AJ49" s="291"/>
      <c r="AK49" s="291"/>
      <c r="AL49" s="291"/>
      <c r="AM49" s="291"/>
      <c r="AN49" s="109"/>
      <c r="AO49" s="110"/>
      <c r="AP49" s="110"/>
      <c r="AQ49" s="110"/>
      <c r="AR49" s="110"/>
      <c r="AS49" s="109">
        <v>0</v>
      </c>
      <c r="AT49" s="113">
        <v>-259</v>
      </c>
      <c r="AU49" s="113">
        <v>0</v>
      </c>
      <c r="AV49" s="113">
        <v>-27821</v>
      </c>
      <c r="AW49" s="318"/>
    </row>
    <row r="50" spans="2:49" ht="25.5" x14ac:dyDescent="0.2">
      <c r="B50" s="155" t="s">
        <v>266</v>
      </c>
      <c r="C50" s="62"/>
      <c r="D50" s="109">
        <v>0</v>
      </c>
      <c r="E50" s="110">
        <f>D50</f>
        <v>0</v>
      </c>
      <c r="F50" s="110"/>
      <c r="G50" s="110"/>
      <c r="H50" s="110"/>
      <c r="I50" s="109">
        <v>0</v>
      </c>
      <c r="J50" s="109">
        <v>955</v>
      </c>
      <c r="K50" s="110">
        <f>J50</f>
        <v>955</v>
      </c>
      <c r="L50" s="110"/>
      <c r="M50" s="110"/>
      <c r="N50" s="110"/>
      <c r="O50" s="109">
        <v>0</v>
      </c>
      <c r="P50" s="109">
        <v>0</v>
      </c>
      <c r="Q50" s="110">
        <f>P50</f>
        <v>0</v>
      </c>
      <c r="R50" s="110"/>
      <c r="S50" s="110"/>
      <c r="T50" s="110"/>
      <c r="U50" s="109">
        <v>0</v>
      </c>
      <c r="V50" s="110">
        <f>U50</f>
        <v>0</v>
      </c>
      <c r="W50" s="110"/>
      <c r="X50" s="109">
        <v>0</v>
      </c>
      <c r="Y50" s="110">
        <f>X50</f>
        <v>0</v>
      </c>
      <c r="Z50" s="110"/>
      <c r="AA50" s="109">
        <v>0</v>
      </c>
      <c r="AB50" s="110">
        <f>AA50</f>
        <v>0</v>
      </c>
      <c r="AC50" s="110"/>
      <c r="AD50" s="109"/>
      <c r="AE50" s="291"/>
      <c r="AF50" s="291"/>
      <c r="AG50" s="291"/>
      <c r="AH50" s="291"/>
      <c r="AI50" s="109"/>
      <c r="AJ50" s="291"/>
      <c r="AK50" s="291"/>
      <c r="AL50" s="291"/>
      <c r="AM50" s="291"/>
      <c r="AN50" s="109"/>
      <c r="AO50" s="110"/>
      <c r="AP50" s="110"/>
      <c r="AQ50" s="110"/>
      <c r="AR50" s="110"/>
      <c r="AS50" s="109">
        <v>0</v>
      </c>
      <c r="AT50" s="113">
        <v>363</v>
      </c>
      <c r="AU50" s="113">
        <v>0</v>
      </c>
      <c r="AV50" s="113">
        <v>-14639</v>
      </c>
      <c r="AW50" s="318"/>
    </row>
    <row r="51" spans="2:49" x14ac:dyDescent="0.2">
      <c r="B51" s="155" t="s">
        <v>267</v>
      </c>
      <c r="C51" s="62"/>
      <c r="D51" s="109">
        <v>0</v>
      </c>
      <c r="E51" s="110">
        <f>D51</f>
        <v>0</v>
      </c>
      <c r="F51" s="110"/>
      <c r="G51" s="110"/>
      <c r="H51" s="110"/>
      <c r="I51" s="109">
        <v>0</v>
      </c>
      <c r="J51" s="109">
        <v>759</v>
      </c>
      <c r="K51" s="110">
        <f>J51</f>
        <v>759</v>
      </c>
      <c r="L51" s="110"/>
      <c r="M51" s="110"/>
      <c r="N51" s="110"/>
      <c r="O51" s="109">
        <v>0</v>
      </c>
      <c r="P51" s="109">
        <v>0</v>
      </c>
      <c r="Q51" s="110">
        <f>P51</f>
        <v>0</v>
      </c>
      <c r="R51" s="110"/>
      <c r="S51" s="110"/>
      <c r="T51" s="110"/>
      <c r="U51" s="109">
        <v>0</v>
      </c>
      <c r="V51" s="110">
        <f>U51</f>
        <v>0</v>
      </c>
      <c r="W51" s="110"/>
      <c r="X51" s="109">
        <v>0</v>
      </c>
      <c r="Y51" s="110">
        <f>X51</f>
        <v>0</v>
      </c>
      <c r="Z51" s="110"/>
      <c r="AA51" s="109">
        <v>0</v>
      </c>
      <c r="AB51" s="110">
        <f>AA51</f>
        <v>0</v>
      </c>
      <c r="AC51" s="110"/>
      <c r="AD51" s="109"/>
      <c r="AE51" s="291"/>
      <c r="AF51" s="291"/>
      <c r="AG51" s="291"/>
      <c r="AH51" s="291"/>
      <c r="AI51" s="109"/>
      <c r="AJ51" s="291"/>
      <c r="AK51" s="291"/>
      <c r="AL51" s="291"/>
      <c r="AM51" s="291"/>
      <c r="AN51" s="109"/>
      <c r="AO51" s="110"/>
      <c r="AP51" s="110"/>
      <c r="AQ51" s="110"/>
      <c r="AR51" s="110"/>
      <c r="AS51" s="109">
        <v>0</v>
      </c>
      <c r="AT51" s="113">
        <v>538515</v>
      </c>
      <c r="AU51" s="113">
        <v>0</v>
      </c>
      <c r="AV51" s="113">
        <v>1296573</v>
      </c>
      <c r="AW51" s="318"/>
    </row>
    <row r="52" spans="2:49" ht="25.5" x14ac:dyDescent="0.2">
      <c r="B52" s="155" t="s">
        <v>268</v>
      </c>
      <c r="C52" s="62" t="s">
        <v>89</v>
      </c>
      <c r="D52" s="109"/>
      <c r="E52" s="110">
        <f>D52</f>
        <v>0</v>
      </c>
      <c r="F52" s="110"/>
      <c r="G52" s="110"/>
      <c r="H52" s="110"/>
      <c r="I52" s="109"/>
      <c r="J52" s="109"/>
      <c r="K52" s="110">
        <f>J52</f>
        <v>0</v>
      </c>
      <c r="L52" s="110"/>
      <c r="M52" s="110"/>
      <c r="N52" s="110"/>
      <c r="O52" s="109"/>
      <c r="P52" s="109"/>
      <c r="Q52" s="110">
        <f>P52</f>
        <v>0</v>
      </c>
      <c r="R52" s="110"/>
      <c r="S52" s="110"/>
      <c r="T52" s="110"/>
      <c r="U52" s="109"/>
      <c r="V52" s="110">
        <f>U52</f>
        <v>0</v>
      </c>
      <c r="W52" s="110"/>
      <c r="X52" s="109"/>
      <c r="Y52" s="110">
        <f>X52</f>
        <v>0</v>
      </c>
      <c r="Z52" s="110"/>
      <c r="AA52" s="109"/>
      <c r="AB52" s="110">
        <f>AA52</f>
        <v>0</v>
      </c>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f>D53</f>
        <v>0</v>
      </c>
      <c r="F53" s="110"/>
      <c r="G53" s="289"/>
      <c r="H53" s="289"/>
      <c r="I53" s="109">
        <v>0</v>
      </c>
      <c r="J53" s="109">
        <v>2</v>
      </c>
      <c r="K53" s="110">
        <f>J53</f>
        <v>2</v>
      </c>
      <c r="L53" s="110"/>
      <c r="M53" s="289"/>
      <c r="N53" s="289"/>
      <c r="O53" s="109">
        <v>0</v>
      </c>
      <c r="P53" s="109">
        <v>0</v>
      </c>
      <c r="Q53" s="110">
        <f>P53</f>
        <v>0</v>
      </c>
      <c r="R53" s="110"/>
      <c r="S53" s="289"/>
      <c r="T53" s="289"/>
      <c r="U53" s="109">
        <v>0</v>
      </c>
      <c r="V53" s="110">
        <f>U53</f>
        <v>0</v>
      </c>
      <c r="W53" s="110"/>
      <c r="X53" s="109">
        <v>0</v>
      </c>
      <c r="Y53" s="110">
        <f>X53</f>
        <v>0</v>
      </c>
      <c r="Z53" s="110"/>
      <c r="AA53" s="109">
        <v>0</v>
      </c>
      <c r="AB53" s="110">
        <f>AA53</f>
        <v>0</v>
      </c>
      <c r="AC53" s="110"/>
      <c r="AD53" s="109"/>
      <c r="AE53" s="291"/>
      <c r="AF53" s="291"/>
      <c r="AG53" s="291"/>
      <c r="AH53" s="291"/>
      <c r="AI53" s="109"/>
      <c r="AJ53" s="291"/>
      <c r="AK53" s="291"/>
      <c r="AL53" s="291"/>
      <c r="AM53" s="291"/>
      <c r="AN53" s="109"/>
      <c r="AO53" s="110"/>
      <c r="AP53" s="110"/>
      <c r="AQ53" s="289"/>
      <c r="AR53" s="289"/>
      <c r="AS53" s="109">
        <v>0</v>
      </c>
      <c r="AT53" s="113">
        <v>0</v>
      </c>
      <c r="AU53" s="113">
        <v>0</v>
      </c>
      <c r="AV53" s="113">
        <v>3214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1112868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f>D56</f>
        <v>0</v>
      </c>
      <c r="F56" s="122"/>
      <c r="G56" s="122"/>
      <c r="H56" s="122"/>
      <c r="I56" s="121">
        <v>0</v>
      </c>
      <c r="J56" s="121">
        <v>3</v>
      </c>
      <c r="K56" s="122">
        <f>J56</f>
        <v>3</v>
      </c>
      <c r="L56" s="122"/>
      <c r="M56" s="122"/>
      <c r="N56" s="122"/>
      <c r="O56" s="121">
        <v>0</v>
      </c>
      <c r="P56" s="121">
        <v>0</v>
      </c>
      <c r="Q56" s="122">
        <f>P56</f>
        <v>0</v>
      </c>
      <c r="R56" s="122"/>
      <c r="S56" s="122"/>
      <c r="T56" s="122"/>
      <c r="U56" s="121">
        <v>0</v>
      </c>
      <c r="V56" s="122">
        <f>U56</f>
        <v>0</v>
      </c>
      <c r="W56" s="122"/>
      <c r="X56" s="121">
        <v>0</v>
      </c>
      <c r="Y56" s="122">
        <f>X56</f>
        <v>0</v>
      </c>
      <c r="Z56" s="122"/>
      <c r="AA56" s="121">
        <v>0</v>
      </c>
      <c r="AB56" s="122">
        <f>AA56</f>
        <v>0</v>
      </c>
      <c r="AC56" s="122"/>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0</v>
      </c>
      <c r="E57" s="125">
        <f>D57</f>
        <v>0</v>
      </c>
      <c r="F57" s="125"/>
      <c r="G57" s="125"/>
      <c r="H57" s="125"/>
      <c r="I57" s="124">
        <v>0</v>
      </c>
      <c r="J57" s="124">
        <v>5</v>
      </c>
      <c r="K57" s="125">
        <f>J57</f>
        <v>5</v>
      </c>
      <c r="L57" s="125"/>
      <c r="M57" s="125"/>
      <c r="N57" s="125"/>
      <c r="O57" s="124">
        <v>0</v>
      </c>
      <c r="P57" s="124">
        <v>0</v>
      </c>
      <c r="Q57" s="125">
        <f>P57</f>
        <v>0</v>
      </c>
      <c r="R57" s="125"/>
      <c r="S57" s="125"/>
      <c r="T57" s="125"/>
      <c r="U57" s="124">
        <v>0</v>
      </c>
      <c r="V57" s="125">
        <f>U57</f>
        <v>0</v>
      </c>
      <c r="W57" s="125"/>
      <c r="X57" s="124">
        <v>0</v>
      </c>
      <c r="Y57" s="125">
        <f>X57</f>
        <v>0</v>
      </c>
      <c r="Z57" s="125"/>
      <c r="AA57" s="124">
        <v>0</v>
      </c>
      <c r="AB57" s="125">
        <f>AA57</f>
        <v>0</v>
      </c>
      <c r="AC57" s="125"/>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1</v>
      </c>
      <c r="K58" s="125">
        <f>J58</f>
        <v>1</v>
      </c>
      <c r="L58" s="125"/>
      <c r="M58" s="125"/>
      <c r="N58" s="125"/>
      <c r="O58" s="124">
        <v>0</v>
      </c>
      <c r="P58" s="124">
        <v>0</v>
      </c>
      <c r="Q58" s="125">
        <f>P58</f>
        <v>0</v>
      </c>
      <c r="R58" s="125"/>
      <c r="S58" s="125"/>
      <c r="T58" s="125"/>
      <c r="U58" s="330"/>
      <c r="V58" s="331"/>
      <c r="W58" s="331"/>
      <c r="X58" s="124">
        <v>0</v>
      </c>
      <c r="Y58" s="125">
        <f>X58</f>
        <v>0</v>
      </c>
      <c r="Z58" s="125"/>
      <c r="AA58" s="124">
        <v>0</v>
      </c>
      <c r="AB58" s="125">
        <f>AA58</f>
        <v>0</v>
      </c>
      <c r="AC58" s="125"/>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c r="G59" s="125"/>
      <c r="H59" s="125"/>
      <c r="I59" s="124">
        <v>0</v>
      </c>
      <c r="J59" s="124">
        <v>69</v>
      </c>
      <c r="K59" s="125">
        <v>69</v>
      </c>
      <c r="L59" s="125"/>
      <c r="M59" s="125"/>
      <c r="N59" s="125"/>
      <c r="O59" s="124">
        <v>0</v>
      </c>
      <c r="P59" s="124">
        <v>0</v>
      </c>
      <c r="Q59" s="125">
        <v>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0</v>
      </c>
      <c r="AU59" s="126">
        <v>0</v>
      </c>
      <c r="AV59" s="126">
        <v>39889</v>
      </c>
      <c r="AW59" s="310"/>
    </row>
    <row r="60" spans="2:49" x14ac:dyDescent="0.2">
      <c r="B60" s="161" t="s">
        <v>276</v>
      </c>
      <c r="C60" s="62"/>
      <c r="D60" s="127">
        <f>D59/12</f>
        <v>0</v>
      </c>
      <c r="E60" s="128">
        <f>E59/12</f>
        <v>0</v>
      </c>
      <c r="F60" s="128"/>
      <c r="G60" s="128"/>
      <c r="H60" s="128"/>
      <c r="I60" s="127">
        <f>I59/12</f>
        <v>0</v>
      </c>
      <c r="J60" s="127">
        <f>J59/12</f>
        <v>5.75</v>
      </c>
      <c r="K60" s="128">
        <f>K59/12</f>
        <v>5.75</v>
      </c>
      <c r="L60" s="128"/>
      <c r="M60" s="128"/>
      <c r="N60" s="128"/>
      <c r="O60" s="127">
        <f>O59/12</f>
        <v>0</v>
      </c>
      <c r="P60" s="127">
        <f>P59/12</f>
        <v>0</v>
      </c>
      <c r="Q60" s="128">
        <f>Q59/12</f>
        <v>0</v>
      </c>
      <c r="R60" s="128"/>
      <c r="S60" s="128"/>
      <c r="T60" s="128"/>
      <c r="U60" s="127">
        <f>U59/12</f>
        <v>0</v>
      </c>
      <c r="V60" s="128">
        <f>V59/12</f>
        <v>0</v>
      </c>
      <c r="W60" s="128"/>
      <c r="X60" s="127">
        <f>X59/12</f>
        <v>0</v>
      </c>
      <c r="Y60" s="128">
        <f>Y59/12</f>
        <v>0</v>
      </c>
      <c r="Z60" s="128"/>
      <c r="AA60" s="127">
        <f>AA59/12</f>
        <v>0</v>
      </c>
      <c r="AB60" s="128">
        <f>AB59/12</f>
        <v>0</v>
      </c>
      <c r="AC60" s="128"/>
      <c r="AD60" s="127"/>
      <c r="AE60" s="304"/>
      <c r="AF60" s="304"/>
      <c r="AG60" s="304"/>
      <c r="AH60" s="305"/>
      <c r="AI60" s="127"/>
      <c r="AJ60" s="304"/>
      <c r="AK60" s="304"/>
      <c r="AL60" s="304"/>
      <c r="AM60" s="305"/>
      <c r="AN60" s="127"/>
      <c r="AO60" s="128"/>
      <c r="AP60" s="128"/>
      <c r="AQ60" s="128"/>
      <c r="AR60" s="128"/>
      <c r="AS60" s="127">
        <f>AS59/12</f>
        <v>0</v>
      </c>
      <c r="AT60" s="129">
        <f>AT59/12</f>
        <v>0</v>
      </c>
      <c r="AU60" s="129">
        <f>AU59/12</f>
        <v>0</v>
      </c>
      <c r="AV60" s="129">
        <f>AV59/12</f>
        <v>3324.0833333333335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1234225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201882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v>0</v>
      </c>
      <c r="J5" s="117">
        <v>9710</v>
      </c>
      <c r="K5" s="118">
        <v>9710</v>
      </c>
      <c r="L5" s="118"/>
      <c r="M5" s="118"/>
      <c r="N5" s="118"/>
      <c r="O5" s="117">
        <v>0</v>
      </c>
      <c r="P5" s="117">
        <v>116624</v>
      </c>
      <c r="Q5" s="118">
        <v>118033</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0</v>
      </c>
      <c r="AT5" s="119">
        <v>567043</v>
      </c>
      <c r="AU5" s="119">
        <v>0</v>
      </c>
      <c r="AV5" s="312"/>
      <c r="AW5" s="317"/>
    </row>
    <row r="6" spans="2:49" x14ac:dyDescent="0.2">
      <c r="B6" s="176" t="s">
        <v>279</v>
      </c>
      <c r="C6" s="133" t="s">
        <v>8</v>
      </c>
      <c r="D6" s="109">
        <v>0</v>
      </c>
      <c r="E6" s="110">
        <f>D6</f>
        <v>0</v>
      </c>
      <c r="F6" s="110"/>
      <c r="G6" s="111"/>
      <c r="H6" s="111"/>
      <c r="I6" s="109">
        <v>0</v>
      </c>
      <c r="J6" s="109">
        <v>1462</v>
      </c>
      <c r="K6" s="110">
        <f>J6</f>
        <v>1462</v>
      </c>
      <c r="L6" s="110"/>
      <c r="M6" s="110"/>
      <c r="N6" s="110"/>
      <c r="O6" s="109">
        <v>0</v>
      </c>
      <c r="P6" s="109">
        <v>20496</v>
      </c>
      <c r="Q6" s="110">
        <v>20496</v>
      </c>
      <c r="R6" s="110"/>
      <c r="S6" s="110"/>
      <c r="T6" s="110"/>
      <c r="U6" s="109">
        <v>0</v>
      </c>
      <c r="V6" s="110">
        <f>U6</f>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13238</v>
      </c>
      <c r="AU6" s="113">
        <v>0</v>
      </c>
      <c r="AV6" s="311"/>
      <c r="AW6" s="318"/>
    </row>
    <row r="7" spans="2:49" x14ac:dyDescent="0.2">
      <c r="B7" s="176" t="s">
        <v>280</v>
      </c>
      <c r="C7" s="133" t="s">
        <v>9</v>
      </c>
      <c r="D7" s="109">
        <v>0</v>
      </c>
      <c r="E7" s="110"/>
      <c r="F7" s="110"/>
      <c r="G7" s="111"/>
      <c r="H7" s="111"/>
      <c r="I7" s="109"/>
      <c r="J7" s="109">
        <v>0</v>
      </c>
      <c r="K7" s="110"/>
      <c r="L7" s="110"/>
      <c r="M7" s="110"/>
      <c r="N7" s="110"/>
      <c r="O7" s="109"/>
      <c r="P7" s="109">
        <v>0</v>
      </c>
      <c r="Q7" s="110"/>
      <c r="R7" s="110"/>
      <c r="S7" s="110"/>
      <c r="T7" s="110"/>
      <c r="U7" s="109">
        <v>0</v>
      </c>
      <c r="V7" s="110"/>
      <c r="W7" s="110"/>
      <c r="X7" s="109">
        <v>0</v>
      </c>
      <c r="Y7" s="110"/>
      <c r="Z7" s="110"/>
      <c r="AA7" s="109">
        <v>0</v>
      </c>
      <c r="AB7" s="110"/>
      <c r="AC7" s="110"/>
      <c r="AD7" s="109"/>
      <c r="AE7" s="288"/>
      <c r="AF7" s="288"/>
      <c r="AG7" s="288"/>
      <c r="AH7" s="288"/>
      <c r="AI7" s="109"/>
      <c r="AJ7" s="288"/>
      <c r="AK7" s="288"/>
      <c r="AL7" s="288"/>
      <c r="AM7" s="288"/>
      <c r="AN7" s="109"/>
      <c r="AO7" s="110"/>
      <c r="AP7" s="110"/>
      <c r="AQ7" s="110"/>
      <c r="AR7" s="110"/>
      <c r="AS7" s="109">
        <v>0</v>
      </c>
      <c r="AT7" s="113">
        <v>685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f>D38</f>
        <v>0</v>
      </c>
      <c r="E9" s="288"/>
      <c r="F9" s="288"/>
      <c r="G9" s="288"/>
      <c r="H9" s="288"/>
      <c r="I9" s="292"/>
      <c r="J9" s="109">
        <f>J38</f>
        <v>0</v>
      </c>
      <c r="K9" s="288"/>
      <c r="L9" s="288"/>
      <c r="M9" s="288"/>
      <c r="N9" s="288"/>
      <c r="O9" s="292"/>
      <c r="P9" s="109">
        <f>P38</f>
        <v>0</v>
      </c>
      <c r="Q9" s="288"/>
      <c r="R9" s="288"/>
      <c r="S9" s="288"/>
      <c r="T9" s="288"/>
      <c r="U9" s="109">
        <f>U38</f>
        <v>0</v>
      </c>
      <c r="V9" s="288"/>
      <c r="W9" s="288"/>
      <c r="X9" s="109">
        <f>X38</f>
        <v>0</v>
      </c>
      <c r="Y9" s="288"/>
      <c r="Z9" s="288"/>
      <c r="AA9" s="109">
        <f>AA38</f>
        <v>0</v>
      </c>
      <c r="AB9" s="288"/>
      <c r="AC9" s="288"/>
      <c r="AD9" s="109"/>
      <c r="AE9" s="288"/>
      <c r="AF9" s="288"/>
      <c r="AG9" s="288"/>
      <c r="AH9" s="288"/>
      <c r="AI9" s="109"/>
      <c r="AJ9" s="288"/>
      <c r="AK9" s="288"/>
      <c r="AL9" s="288"/>
      <c r="AM9" s="288"/>
      <c r="AN9" s="109"/>
      <c r="AO9" s="288"/>
      <c r="AP9" s="288"/>
      <c r="AQ9" s="288"/>
      <c r="AR9" s="288"/>
      <c r="AS9" s="109">
        <f>AS38</f>
        <v>0</v>
      </c>
      <c r="AT9" s="113">
        <f>AT38</f>
        <v>0</v>
      </c>
      <c r="AU9" s="113">
        <f>AU38</f>
        <v>0</v>
      </c>
      <c r="AV9" s="311"/>
      <c r="AW9" s="318"/>
    </row>
    <row r="10" spans="2:49" ht="25.5" x14ac:dyDescent="0.2">
      <c r="B10" s="178" t="s">
        <v>83</v>
      </c>
      <c r="C10" s="133"/>
      <c r="D10" s="293"/>
      <c r="E10" s="110">
        <f>E39</f>
        <v>0</v>
      </c>
      <c r="F10" s="110"/>
      <c r="G10" s="110"/>
      <c r="H10" s="110"/>
      <c r="I10" s="109">
        <f>0</f>
        <v>0</v>
      </c>
      <c r="J10" s="293"/>
      <c r="K10" s="110">
        <f>K39</f>
        <v>0</v>
      </c>
      <c r="L10" s="110"/>
      <c r="M10" s="110"/>
      <c r="N10" s="110"/>
      <c r="O10" s="109">
        <f>0</f>
        <v>0</v>
      </c>
      <c r="P10" s="293"/>
      <c r="Q10" s="110">
        <f>Q39</f>
        <v>0</v>
      </c>
      <c r="R10" s="110"/>
      <c r="S10" s="110"/>
      <c r="T10" s="110"/>
      <c r="U10" s="293"/>
      <c r="V10" s="110">
        <f>V39</f>
        <v>0</v>
      </c>
      <c r="W10" s="110"/>
      <c r="X10" s="293"/>
      <c r="Y10" s="110">
        <f>Y39</f>
        <v>0</v>
      </c>
      <c r="Z10" s="110"/>
      <c r="AA10" s="293"/>
      <c r="AB10" s="110">
        <f>AB39</f>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f>D41</f>
        <v>0</v>
      </c>
      <c r="E11" s="110">
        <f>E42</f>
        <v>-422</v>
      </c>
      <c r="F11" s="110"/>
      <c r="G11" s="110"/>
      <c r="H11" s="110"/>
      <c r="I11" s="109">
        <f>0</f>
        <v>0</v>
      </c>
      <c r="J11" s="109">
        <f>J41</f>
        <v>0</v>
      </c>
      <c r="K11" s="110">
        <f>K42</f>
        <v>-5807</v>
      </c>
      <c r="L11" s="110"/>
      <c r="M11" s="110"/>
      <c r="N11" s="110"/>
      <c r="O11" s="109">
        <f>0</f>
        <v>0</v>
      </c>
      <c r="P11" s="109">
        <f>P41</f>
        <v>0</v>
      </c>
      <c r="Q11" s="110">
        <f>Q42</f>
        <v>0</v>
      </c>
      <c r="R11" s="110"/>
      <c r="S11" s="110"/>
      <c r="T11" s="110"/>
      <c r="U11" s="109">
        <f>U41</f>
        <v>0</v>
      </c>
      <c r="V11" s="110">
        <f>V42</f>
        <v>0</v>
      </c>
      <c r="W11" s="110"/>
      <c r="X11" s="109">
        <f>X41</f>
        <v>0</v>
      </c>
      <c r="Y11" s="110">
        <f>Y42</f>
        <v>0</v>
      </c>
      <c r="Z11" s="110"/>
      <c r="AA11" s="109">
        <f>AA41</f>
        <v>0</v>
      </c>
      <c r="AB11" s="110">
        <f>AB42</f>
        <v>0</v>
      </c>
      <c r="AC11" s="110"/>
      <c r="AD11" s="109"/>
      <c r="AE11" s="288"/>
      <c r="AF11" s="288"/>
      <c r="AG11" s="288"/>
      <c r="AH11" s="288"/>
      <c r="AI11" s="109"/>
      <c r="AJ11" s="288"/>
      <c r="AK11" s="288"/>
      <c r="AL11" s="288"/>
      <c r="AM11" s="288"/>
      <c r="AN11" s="109"/>
      <c r="AO11" s="110"/>
      <c r="AP11" s="110"/>
      <c r="AQ11" s="110"/>
      <c r="AR11" s="110"/>
      <c r="AS11" s="109">
        <f>AS41</f>
        <v>0</v>
      </c>
      <c r="AT11" s="113">
        <f>AT41</f>
        <v>0</v>
      </c>
      <c r="AU11" s="113">
        <f>AU41</f>
        <v>0</v>
      </c>
      <c r="AV11" s="311"/>
      <c r="AW11" s="318"/>
    </row>
    <row r="12" spans="2:49" x14ac:dyDescent="0.2">
      <c r="B12" s="176" t="s">
        <v>283</v>
      </c>
      <c r="C12" s="133" t="s">
        <v>44</v>
      </c>
      <c r="D12" s="109">
        <f>D43</f>
        <v>422</v>
      </c>
      <c r="E12" s="289"/>
      <c r="F12" s="289"/>
      <c r="G12" s="289"/>
      <c r="H12" s="289"/>
      <c r="I12" s="293"/>
      <c r="J12" s="109">
        <f>J43</f>
        <v>5807</v>
      </c>
      <c r="K12" s="289"/>
      <c r="L12" s="289"/>
      <c r="M12" s="289"/>
      <c r="N12" s="289"/>
      <c r="O12" s="293"/>
      <c r="P12" s="109">
        <f>P43</f>
        <v>0</v>
      </c>
      <c r="Q12" s="289"/>
      <c r="R12" s="289"/>
      <c r="S12" s="289"/>
      <c r="T12" s="289"/>
      <c r="U12" s="109">
        <f>U43</f>
        <v>0</v>
      </c>
      <c r="V12" s="289"/>
      <c r="W12" s="289"/>
      <c r="X12" s="109">
        <f>X43</f>
        <v>0</v>
      </c>
      <c r="Y12" s="289"/>
      <c r="Z12" s="289"/>
      <c r="AA12" s="109">
        <f>AA43</f>
        <v>0</v>
      </c>
      <c r="AB12" s="289"/>
      <c r="AC12" s="289"/>
      <c r="AD12" s="109"/>
      <c r="AE12" s="288"/>
      <c r="AF12" s="288"/>
      <c r="AG12" s="288"/>
      <c r="AH12" s="288"/>
      <c r="AI12" s="109"/>
      <c r="AJ12" s="288"/>
      <c r="AK12" s="288"/>
      <c r="AL12" s="288"/>
      <c r="AM12" s="288"/>
      <c r="AN12" s="109"/>
      <c r="AO12" s="289"/>
      <c r="AP12" s="289"/>
      <c r="AQ12" s="289"/>
      <c r="AR12" s="289"/>
      <c r="AS12" s="109">
        <f>AS43</f>
        <v>0</v>
      </c>
      <c r="AT12" s="113">
        <f>AT43</f>
        <v>0</v>
      </c>
      <c r="AU12" s="113">
        <f>AU43</f>
        <v>0</v>
      </c>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f>D14</f>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f>0</f>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0</f>
        <v>0</v>
      </c>
      <c r="E16" s="110">
        <v>0</v>
      </c>
      <c r="F16" s="110"/>
      <c r="G16" s="110"/>
      <c r="H16" s="110"/>
      <c r="I16" s="109">
        <v>0</v>
      </c>
      <c r="J16" s="109">
        <f>0</f>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f>0</f>
        <v>0</v>
      </c>
      <c r="E17" s="269">
        <f>'Pt 3 MLR and Rebate Calculation'!G35</f>
        <v>0</v>
      </c>
      <c r="F17" s="269"/>
      <c r="G17" s="269"/>
      <c r="H17" s="110"/>
      <c r="I17" s="293"/>
      <c r="J17" s="109">
        <f>0</f>
        <v>0</v>
      </c>
      <c r="K17" s="269">
        <f>'Pt 3 MLR and Rebate Calculation'!L35</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f>0</f>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-54079</v>
      </c>
      <c r="K23" s="288"/>
      <c r="L23" s="288"/>
      <c r="M23" s="288"/>
      <c r="N23" s="288"/>
      <c r="O23" s="292"/>
      <c r="P23" s="109">
        <v>172457</v>
      </c>
      <c r="Q23" s="288"/>
      <c r="R23" s="288"/>
      <c r="S23" s="288"/>
      <c r="T23" s="288"/>
      <c r="U23" s="109">
        <v>0</v>
      </c>
      <c r="V23" s="288"/>
      <c r="W23" s="288"/>
      <c r="X23" s="109">
        <v>0</v>
      </c>
      <c r="Y23" s="288"/>
      <c r="Z23" s="288"/>
      <c r="AA23" s="109">
        <v>3754</v>
      </c>
      <c r="AB23" s="288"/>
      <c r="AC23" s="288"/>
      <c r="AD23" s="109"/>
      <c r="AE23" s="288"/>
      <c r="AF23" s="288"/>
      <c r="AG23" s="288"/>
      <c r="AH23" s="288"/>
      <c r="AI23" s="109"/>
      <c r="AJ23" s="288"/>
      <c r="AK23" s="288"/>
      <c r="AL23" s="288"/>
      <c r="AM23" s="288"/>
      <c r="AN23" s="109"/>
      <c r="AO23" s="288"/>
      <c r="AP23" s="288"/>
      <c r="AQ23" s="288"/>
      <c r="AR23" s="288"/>
      <c r="AS23" s="109">
        <v>-162156</v>
      </c>
      <c r="AT23" s="113">
        <v>20930</v>
      </c>
      <c r="AU23" s="113">
        <v>0</v>
      </c>
      <c r="AV23" s="311"/>
      <c r="AW23" s="318"/>
    </row>
    <row r="24" spans="2:49" ht="28.5" customHeight="1" x14ac:dyDescent="0.2">
      <c r="B24" s="178" t="s">
        <v>114</v>
      </c>
      <c r="C24" s="133"/>
      <c r="D24" s="293"/>
      <c r="E24" s="110">
        <v>0</v>
      </c>
      <c r="F24" s="110"/>
      <c r="G24" s="110"/>
      <c r="H24" s="110"/>
      <c r="I24" s="109">
        <v>0</v>
      </c>
      <c r="J24" s="293"/>
      <c r="K24" s="110">
        <v>-33062</v>
      </c>
      <c r="L24" s="110"/>
      <c r="M24" s="110"/>
      <c r="N24" s="110"/>
      <c r="O24" s="109">
        <v>0</v>
      </c>
      <c r="P24" s="293"/>
      <c r="Q24" s="110">
        <v>116507</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924</v>
      </c>
      <c r="K26" s="288"/>
      <c r="L26" s="288"/>
      <c r="M26" s="288"/>
      <c r="N26" s="288"/>
      <c r="O26" s="292"/>
      <c r="P26" s="109">
        <v>17438</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55770</v>
      </c>
      <c r="AU26" s="113">
        <v>0</v>
      </c>
      <c r="AV26" s="311"/>
      <c r="AW26" s="318"/>
    </row>
    <row r="27" spans="2:49" s="5" customFormat="1" ht="25.5" x14ac:dyDescent="0.2">
      <c r="B27" s="178" t="s">
        <v>85</v>
      </c>
      <c r="C27" s="133"/>
      <c r="D27" s="293"/>
      <c r="E27" s="110">
        <v>-2</v>
      </c>
      <c r="F27" s="110"/>
      <c r="G27" s="110"/>
      <c r="H27" s="110"/>
      <c r="I27" s="109">
        <v>0</v>
      </c>
      <c r="J27" s="293"/>
      <c r="K27" s="110">
        <v>407</v>
      </c>
      <c r="L27" s="110"/>
      <c r="M27" s="110"/>
      <c r="N27" s="110"/>
      <c r="O27" s="109">
        <v>0</v>
      </c>
      <c r="P27" s="293"/>
      <c r="Q27" s="110">
        <v>11036</v>
      </c>
      <c r="R27" s="110"/>
      <c r="S27" s="110"/>
      <c r="T27" s="110"/>
      <c r="U27" s="293"/>
      <c r="V27" s="110">
        <v>0</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v>
      </c>
      <c r="E28" s="289"/>
      <c r="F28" s="289"/>
      <c r="G28" s="289"/>
      <c r="H28" s="289"/>
      <c r="I28" s="293"/>
      <c r="J28" s="109">
        <v>1379</v>
      </c>
      <c r="K28" s="289"/>
      <c r="L28" s="289"/>
      <c r="M28" s="289"/>
      <c r="N28" s="289"/>
      <c r="O28" s="293"/>
      <c r="P28" s="109">
        <v>214148</v>
      </c>
      <c r="Q28" s="289"/>
      <c r="R28" s="289"/>
      <c r="S28" s="289"/>
      <c r="T28" s="289"/>
      <c r="U28" s="109">
        <v>0</v>
      </c>
      <c r="V28" s="289"/>
      <c r="W28" s="289"/>
      <c r="X28" s="109">
        <v>0</v>
      </c>
      <c r="Y28" s="289"/>
      <c r="Z28" s="289"/>
      <c r="AA28" s="109">
        <v>3519</v>
      </c>
      <c r="AB28" s="289"/>
      <c r="AC28" s="289"/>
      <c r="AD28" s="109"/>
      <c r="AE28" s="288"/>
      <c r="AF28" s="288"/>
      <c r="AG28" s="288"/>
      <c r="AH28" s="288"/>
      <c r="AI28" s="109"/>
      <c r="AJ28" s="288"/>
      <c r="AK28" s="288"/>
      <c r="AL28" s="288"/>
      <c r="AM28" s="288"/>
      <c r="AN28" s="109"/>
      <c r="AO28" s="289"/>
      <c r="AP28" s="289"/>
      <c r="AQ28" s="289"/>
      <c r="AR28" s="289"/>
      <c r="AS28" s="109">
        <v>40532</v>
      </c>
      <c r="AT28" s="113">
        <v>131532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64</v>
      </c>
      <c r="K30" s="288"/>
      <c r="L30" s="288"/>
      <c r="M30" s="288"/>
      <c r="N30" s="288"/>
      <c r="O30" s="292"/>
      <c r="P30" s="109">
        <v>2033</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97232</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29</v>
      </c>
      <c r="K32" s="289"/>
      <c r="L32" s="289"/>
      <c r="M32" s="289"/>
      <c r="N32" s="289"/>
      <c r="O32" s="293"/>
      <c r="P32" s="109">
        <v>5779</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114778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5</v>
      </c>
      <c r="K34" s="288"/>
      <c r="L34" s="288"/>
      <c r="M34" s="288"/>
      <c r="N34" s="288"/>
      <c r="O34" s="292"/>
      <c r="P34" s="109">
        <v>64</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f>D34</f>
        <v>0</v>
      </c>
      <c r="F35" s="110"/>
      <c r="G35" s="110"/>
      <c r="H35" s="110"/>
      <c r="I35" s="109">
        <v>0</v>
      </c>
      <c r="J35" s="293"/>
      <c r="K35" s="110">
        <f>J34</f>
        <v>5</v>
      </c>
      <c r="L35" s="110"/>
      <c r="M35" s="110"/>
      <c r="N35" s="110"/>
      <c r="O35" s="109">
        <v>0</v>
      </c>
      <c r="P35" s="293"/>
      <c r="Q35" s="110">
        <f>P34</f>
        <v>64</v>
      </c>
      <c r="R35" s="110"/>
      <c r="S35" s="110"/>
      <c r="T35" s="110"/>
      <c r="U35" s="293"/>
      <c r="V35" s="110">
        <f>U34</f>
        <v>0</v>
      </c>
      <c r="W35" s="110"/>
      <c r="X35" s="293"/>
      <c r="Y35" s="110">
        <f>X34</f>
        <v>0</v>
      </c>
      <c r="Z35" s="110"/>
      <c r="AA35" s="293"/>
      <c r="AB35" s="110">
        <f>AA34</f>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f>D36</f>
        <v>0</v>
      </c>
      <c r="F36" s="110"/>
      <c r="G36" s="110"/>
      <c r="H36" s="110"/>
      <c r="I36" s="109">
        <v>0</v>
      </c>
      <c r="J36" s="109">
        <v>10</v>
      </c>
      <c r="K36" s="110">
        <f>J36</f>
        <v>10</v>
      </c>
      <c r="L36" s="110"/>
      <c r="M36" s="110"/>
      <c r="N36" s="110"/>
      <c r="O36" s="109">
        <v>0</v>
      </c>
      <c r="P36" s="109">
        <v>1715</v>
      </c>
      <c r="Q36" s="110">
        <f>P36</f>
        <v>1715</v>
      </c>
      <c r="R36" s="110"/>
      <c r="S36" s="110"/>
      <c r="T36" s="110"/>
      <c r="U36" s="109">
        <v>0</v>
      </c>
      <c r="V36" s="110">
        <f>U36</f>
        <v>0</v>
      </c>
      <c r="W36" s="110"/>
      <c r="X36" s="109">
        <v>0</v>
      </c>
      <c r="Y36" s="110">
        <f>X36</f>
        <v>0</v>
      </c>
      <c r="Z36" s="110"/>
      <c r="AA36" s="109">
        <v>0</v>
      </c>
      <c r="AB36" s="110">
        <f>AA36</f>
        <v>0</v>
      </c>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-422</v>
      </c>
      <c r="F42" s="110"/>
      <c r="G42" s="110"/>
      <c r="H42" s="110"/>
      <c r="I42" s="109">
        <v>0</v>
      </c>
      <c r="J42" s="293"/>
      <c r="K42" s="110">
        <v>-5807</v>
      </c>
      <c r="L42" s="110"/>
      <c r="M42" s="110"/>
      <c r="N42" s="110"/>
      <c r="O42" s="109">
        <v>0</v>
      </c>
      <c r="P42" s="293"/>
      <c r="Q42" s="110">
        <v>0</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422</v>
      </c>
      <c r="E43" s="289"/>
      <c r="F43" s="289"/>
      <c r="G43" s="289"/>
      <c r="H43" s="289"/>
      <c r="I43" s="293"/>
      <c r="J43" s="109">
        <v>5807</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4</v>
      </c>
      <c r="K45" s="110">
        <v>4</v>
      </c>
      <c r="L45" s="110"/>
      <c r="M45" s="110"/>
      <c r="N45" s="110"/>
      <c r="O45" s="109">
        <v>0</v>
      </c>
      <c r="P45" s="109">
        <v>3682</v>
      </c>
      <c r="Q45" s="110">
        <v>48</v>
      </c>
      <c r="R45" s="110"/>
      <c r="S45" s="110"/>
      <c r="T45" s="110"/>
      <c r="U45" s="109">
        <v>0</v>
      </c>
      <c r="V45" s="110">
        <v>0</v>
      </c>
      <c r="W45" s="110"/>
      <c r="X45" s="109">
        <v>0</v>
      </c>
      <c r="Y45" s="110">
        <v>0</v>
      </c>
      <c r="Z45" s="110"/>
      <c r="AA45" s="109">
        <v>0</v>
      </c>
      <c r="AB45" s="110">
        <v>0</v>
      </c>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8</v>
      </c>
      <c r="K49" s="110">
        <v>0</v>
      </c>
      <c r="L49" s="110"/>
      <c r="M49" s="110"/>
      <c r="N49" s="110"/>
      <c r="O49" s="109">
        <v>0</v>
      </c>
      <c r="P49" s="109">
        <v>6</v>
      </c>
      <c r="Q49" s="110">
        <v>0</v>
      </c>
      <c r="R49" s="110"/>
      <c r="S49" s="110"/>
      <c r="T49" s="110"/>
      <c r="U49" s="109">
        <v>0</v>
      </c>
      <c r="V49" s="110">
        <v>0</v>
      </c>
      <c r="W49" s="110"/>
      <c r="X49" s="109">
        <v>0</v>
      </c>
      <c r="Y49" s="110">
        <v>0</v>
      </c>
      <c r="Z49" s="110"/>
      <c r="AA49" s="109">
        <v>0</v>
      </c>
      <c r="AB49" s="110">
        <v>0</v>
      </c>
      <c r="AC49" s="110"/>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915</v>
      </c>
      <c r="K50" s="289"/>
      <c r="L50" s="289"/>
      <c r="M50" s="289"/>
      <c r="N50" s="289"/>
      <c r="O50" s="293"/>
      <c r="P50" s="109">
        <v>9685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201677</v>
      </c>
      <c r="AT50" s="113">
        <v>0</v>
      </c>
      <c r="AU50" s="113">
        <v>0</v>
      </c>
      <c r="AV50" s="311"/>
      <c r="AW50" s="318"/>
    </row>
    <row r="51" spans="2:49" s="5" customFormat="1" x14ac:dyDescent="0.2">
      <c r="B51" s="176" t="s">
        <v>300</v>
      </c>
      <c r="C51" s="133"/>
      <c r="D51" s="109"/>
      <c r="E51" s="110">
        <v>0</v>
      </c>
      <c r="F51" s="110"/>
      <c r="G51" s="110"/>
      <c r="H51" s="110"/>
      <c r="I51" s="109">
        <v>0</v>
      </c>
      <c r="J51" s="109"/>
      <c r="K51" s="110">
        <v>0</v>
      </c>
      <c r="L51" s="110"/>
      <c r="M51" s="110"/>
      <c r="N51" s="110"/>
      <c r="O51" s="109">
        <v>0</v>
      </c>
      <c r="P51" s="109"/>
      <c r="Q51" s="110">
        <v>0</v>
      </c>
      <c r="R51" s="110"/>
      <c r="S51" s="110"/>
      <c r="T51" s="110"/>
      <c r="U51" s="109"/>
      <c r="V51" s="110">
        <v>0</v>
      </c>
      <c r="W51" s="110"/>
      <c r="X51" s="109"/>
      <c r="Y51" s="110">
        <v>0</v>
      </c>
      <c r="Z51" s="110"/>
      <c r="AA51" s="109"/>
      <c r="AB51" s="110">
        <v>0</v>
      </c>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f>D23+D26-D28+D30-D32+D34-D36+D38+D41-D43+D45+D46-D47-D49+D50+D51+D52+D53</f>
        <v>-424</v>
      </c>
      <c r="E54" s="115">
        <f>E24+E27+E31+E35-E36+E39+E42+E45+E46-E49+E51+E52+E53</f>
        <v>-424</v>
      </c>
      <c r="F54" s="115"/>
      <c r="G54" s="115"/>
      <c r="H54" s="115"/>
      <c r="I54" s="114">
        <f>I24+I27+I31+I35-I36+I39+I42+I45+I46-I49+I51+I52+I53</f>
        <v>0</v>
      </c>
      <c r="J54" s="114">
        <f>J23+J26-J28+J30-J32+J34-J36+J38+J41-J43+J45+J46-J47-J49+J50+J51+J52+J53</f>
        <v>-59400</v>
      </c>
      <c r="K54" s="115">
        <f>K24+K27+K31+K35-K36+K39+K42+K45+K46-K49+K51+K52+K53</f>
        <v>-38463</v>
      </c>
      <c r="L54" s="115"/>
      <c r="M54" s="115"/>
      <c r="N54" s="115"/>
      <c r="O54" s="114">
        <f>O24+O27+O31+O35-O36+O39+O42+O45+O46-O49+O51+O52+O53</f>
        <v>0</v>
      </c>
      <c r="P54" s="114">
        <f>P23+P26-P28+P30-P32+P34-P36+P38+P41-P43+P45+P46-P47-P49+P50+P51+P52+P53</f>
        <v>-16289</v>
      </c>
      <c r="Q54" s="115">
        <f>Q24+Q27+Q31+Q35-Q36+Q39+Q42+Q45+Q46-Q49+Q51+Q52+Q53</f>
        <v>125940</v>
      </c>
      <c r="R54" s="115"/>
      <c r="S54" s="115"/>
      <c r="T54" s="115"/>
      <c r="U54" s="114">
        <f>U23+U26-U28+U30-U32+U34-U36+U38+U41-U43+U45+U46-U47-U49+U50+U51+U52+U53</f>
        <v>0</v>
      </c>
      <c r="V54" s="115">
        <f>V24+V27+V31+V35-V36+V39+V42+V45+V46-V49+V51+V52+V53</f>
        <v>0</v>
      </c>
      <c r="W54" s="115"/>
      <c r="X54" s="114">
        <f>X23+X26-X28+X30-X32+X34-X36+X38+X41-X43+X45+X46-X47-X49+X50+X51+X52+X53</f>
        <v>0</v>
      </c>
      <c r="Y54" s="115">
        <f>Y24+Y27+Y31+Y35-Y36+Y39+Y42+Y45+Y46-Y49+Y51+Y52+Y53</f>
        <v>0</v>
      </c>
      <c r="Z54" s="115"/>
      <c r="AA54" s="114">
        <f>AA23+AA26-AA28+AA30-AA32+AA34-AA36+AA38+AA41-AA43+AA45+AA46-AA47-AA49+AA50+AA51+AA52+AA53</f>
        <v>235</v>
      </c>
      <c r="AB54" s="115">
        <f>AB24+AB27+AB31+AB35-AB36+AB39+AB42+AB45+AB46-AB49+AB51+AB52+AB53</f>
        <v>0</v>
      </c>
      <c r="AC54" s="115"/>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-1011</v>
      </c>
      <c r="AT54" s="116">
        <f>AT23+AT26-AT28+AT30-AT32+AT34-AT36+AT38+AT41-AT43+AT45+AT46-AT47-AT49+AT50+AT51+AT52+AT53</f>
        <v>-72378</v>
      </c>
      <c r="AU54" s="116">
        <f>AU23+AU26-AU28+AU30-AU32+AU34-AU36+AU38+AU41-AU43+AU45+AU46-AU47-AU49+AU50+AU51+AU52+AU53</f>
        <v>0</v>
      </c>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f>MIN(U56,U57)</f>
        <v>0</v>
      </c>
      <c r="V55" s="115">
        <f>MIN(V56,V57)</f>
        <v>0</v>
      </c>
      <c r="W55" s="115"/>
      <c r="X55" s="114">
        <f>MIN(X56,X57)</f>
        <v>0</v>
      </c>
      <c r="Y55" s="115">
        <f>MIN(Y56,Y57)</f>
        <v>0</v>
      </c>
      <c r="Z55" s="115"/>
      <c r="AA55" s="114">
        <f>MIN(AA56,AA57)</f>
        <v>0</v>
      </c>
      <c r="AB55" s="115">
        <f>MIN(AB56,AB57)</f>
        <v>0</v>
      </c>
      <c r="AC55" s="115"/>
      <c r="AD55" s="114"/>
      <c r="AE55" s="288"/>
      <c r="AF55" s="288"/>
      <c r="AG55" s="288"/>
      <c r="AH55" s="288"/>
      <c r="AI55" s="114"/>
      <c r="AJ55" s="288"/>
      <c r="AK55" s="288"/>
      <c r="AL55" s="288"/>
      <c r="AM55" s="288"/>
      <c r="AN55" s="114"/>
      <c r="AO55" s="115"/>
      <c r="AP55" s="115"/>
      <c r="AQ55" s="115"/>
      <c r="AR55" s="115"/>
      <c r="AS55" s="114">
        <f>MIN(AS$68,AS$69)</f>
        <v>0</v>
      </c>
      <c r="AT55" s="116">
        <f>MIN(AT$68,AT$69)</f>
        <v>0</v>
      </c>
      <c r="AU55" s="116">
        <f>MIN(AU$68,AU$69)</f>
        <v>0</v>
      </c>
      <c r="AV55" s="311"/>
      <c r="AW55" s="318"/>
    </row>
    <row r="56" spans="2:49" ht="11.85" customHeight="1" x14ac:dyDescent="0.2">
      <c r="B56" s="176" t="s">
        <v>120</v>
      </c>
      <c r="C56" s="137" t="s">
        <v>452</v>
      </c>
      <c r="D56" s="109">
        <v>0</v>
      </c>
      <c r="E56" s="110">
        <f>D56</f>
        <v>0</v>
      </c>
      <c r="F56" s="110"/>
      <c r="G56" s="110"/>
      <c r="H56" s="110"/>
      <c r="I56" s="109">
        <v>0</v>
      </c>
      <c r="J56" s="109">
        <v>0</v>
      </c>
      <c r="K56" s="110">
        <f>J56</f>
        <v>0</v>
      </c>
      <c r="L56" s="110"/>
      <c r="M56" s="110"/>
      <c r="N56" s="110"/>
      <c r="O56" s="109">
        <v>0</v>
      </c>
      <c r="P56" s="109">
        <v>0</v>
      </c>
      <c r="Q56" s="110">
        <f>P56</f>
        <v>0</v>
      </c>
      <c r="R56" s="110"/>
      <c r="S56" s="110"/>
      <c r="T56" s="110"/>
      <c r="U56" s="109">
        <v>0</v>
      </c>
      <c r="V56" s="110">
        <f>U56</f>
        <v>0</v>
      </c>
      <c r="W56" s="110"/>
      <c r="X56" s="109">
        <v>0</v>
      </c>
      <c r="Y56" s="110">
        <f>X56</f>
        <v>0</v>
      </c>
      <c r="Z56" s="110"/>
      <c r="AA56" s="109">
        <v>0</v>
      </c>
      <c r="AB56" s="110">
        <f>AA56</f>
        <v>0</v>
      </c>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f>0</f>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L37" sqref="L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554.91999999999996</v>
      </c>
      <c r="D5" s="118">
        <v>-10</v>
      </c>
      <c r="E5" s="346"/>
      <c r="F5" s="346"/>
      <c r="G5" s="312"/>
      <c r="H5" s="117">
        <v>-1485169.57</v>
      </c>
      <c r="I5" s="118">
        <v>52555</v>
      </c>
      <c r="J5" s="346"/>
      <c r="K5" s="346"/>
      <c r="L5" s="312"/>
      <c r="M5" s="117">
        <v>20862269.34</v>
      </c>
      <c r="N5" s="118">
        <v>3056204</v>
      </c>
      <c r="O5" s="346"/>
      <c r="P5" s="346"/>
      <c r="Q5" s="117">
        <v>0</v>
      </c>
      <c r="R5" s="118">
        <v>0</v>
      </c>
      <c r="S5" s="346"/>
      <c r="T5" s="346"/>
      <c r="U5" s="117">
        <v>0</v>
      </c>
      <c r="V5" s="118">
        <v>0</v>
      </c>
      <c r="W5" s="346"/>
      <c r="X5" s="346"/>
      <c r="Y5" s="117">
        <v>43349.89</v>
      </c>
      <c r="Z5" s="118">
        <v>52925</v>
      </c>
      <c r="AA5" s="346"/>
      <c r="AB5" s="346"/>
      <c r="AC5" s="347"/>
      <c r="AD5" s="346"/>
      <c r="AE5" s="346"/>
      <c r="AF5" s="346"/>
      <c r="AG5" s="347"/>
      <c r="AH5" s="346"/>
      <c r="AI5" s="346"/>
      <c r="AJ5" s="346"/>
      <c r="AK5" s="347"/>
      <c r="AL5" s="118"/>
      <c r="AM5" s="346"/>
      <c r="AN5" s="348"/>
    </row>
    <row r="6" spans="1:40" s="9" customFormat="1" ht="25.5" x14ac:dyDescent="0.2">
      <c r="A6" s="142"/>
      <c r="B6" s="191" t="s">
        <v>311</v>
      </c>
      <c r="C6" s="109">
        <v>542</v>
      </c>
      <c r="D6" s="110">
        <v>-10</v>
      </c>
      <c r="E6" s="115">
        <f>SUM('Pt 1 Summary of Data'!E$12,'Pt 1 Summary of Data'!E$22)+SUM('Pt 1 Summary of Data'!G$12,'Pt 1 Summary of Data'!G$22)-SUM('Pt 1 Summary of Data'!H$12,'Pt 1 Summary of Data'!H$22)</f>
        <v>-424</v>
      </c>
      <c r="F6" s="115">
        <f>SUM(C6:E6)</f>
        <v>108</v>
      </c>
      <c r="G6" s="116">
        <f>'Pt 1 Summary of Data'!I12+'Pt 1 Summary of Data'!I22</f>
        <v>0</v>
      </c>
      <c r="H6" s="109">
        <v>-1461610</v>
      </c>
      <c r="I6" s="110">
        <v>52612</v>
      </c>
      <c r="J6" s="115">
        <f>'Pt 1 Summary of Data'!K12+'Pt 1 Summary of Data'!K22</f>
        <v>-38463</v>
      </c>
      <c r="K6" s="115">
        <f>SUM(H6:J6)</f>
        <v>-1447461</v>
      </c>
      <c r="L6" s="116">
        <f>'Pt 1 Summary of Data'!O12+'Pt 1 Summary of Data'!O22</f>
        <v>0</v>
      </c>
      <c r="M6" s="109">
        <v>21018339</v>
      </c>
      <c r="N6" s="110">
        <v>3026133</v>
      </c>
      <c r="O6" s="115">
        <f>'Pt 1 Summary of Data'!Q12+'Pt 1 Summary of Data'!Q22</f>
        <v>125940</v>
      </c>
      <c r="P6" s="115">
        <f>SUM(M6:O6)</f>
        <v>24170412</v>
      </c>
      <c r="Q6" s="109">
        <v>0</v>
      </c>
      <c r="R6" s="110">
        <v>0</v>
      </c>
      <c r="S6" s="115">
        <f>'Pt 1 Summary of Data'!V12+'Pt 1 Summary of Data'!V22</f>
        <v>0</v>
      </c>
      <c r="T6" s="115">
        <f>SUM(Q6:S6)</f>
        <v>0</v>
      </c>
      <c r="U6" s="109">
        <v>0</v>
      </c>
      <c r="V6" s="110">
        <v>0</v>
      </c>
      <c r="W6" s="115">
        <f>'Pt 1 Summary of Data'!Y12+'Pt 1 Summary of Data'!Y22</f>
        <v>0</v>
      </c>
      <c r="X6" s="115">
        <f>SUM(U6:W6)</f>
        <v>0</v>
      </c>
      <c r="Y6" s="109">
        <v>48025</v>
      </c>
      <c r="Z6" s="110">
        <v>51772</v>
      </c>
      <c r="AA6" s="115">
        <f>'Pt 1 Summary of Data'!AB12+'Pt 1 Summary of Data'!AB22</f>
        <v>0</v>
      </c>
      <c r="AB6" s="115">
        <f>SUM(Y6:AA6)</f>
        <v>99797</v>
      </c>
      <c r="AC6" s="292"/>
      <c r="AD6" s="288"/>
      <c r="AE6" s="288"/>
      <c r="AF6" s="288"/>
      <c r="AG6" s="292"/>
      <c r="AH6" s="288"/>
      <c r="AI6" s="288"/>
      <c r="AJ6" s="288"/>
      <c r="AK6" s="292"/>
      <c r="AL6" s="110"/>
      <c r="AM6" s="115"/>
      <c r="AN6" s="253"/>
    </row>
    <row r="7" spans="1:40" x14ac:dyDescent="0.2">
      <c r="B7" s="191" t="s">
        <v>312</v>
      </c>
      <c r="C7" s="109">
        <v>4</v>
      </c>
      <c r="D7" s="110">
        <v>0</v>
      </c>
      <c r="E7" s="115">
        <f>SUM('Pt 1 Summary of Data'!E37:E41)+MAX(0,MIN('Pt 1 Summary of Data'!E42,0.3%*('Pt 1 Summary of Data'!E5-SUM(E9:E11))))</f>
        <v>0</v>
      </c>
      <c r="F7" s="115">
        <f>SUM(C7:E7)</f>
        <v>4</v>
      </c>
      <c r="G7" s="116">
        <f>SUM('Pt 1 Summary of Data'!I37:I41)+MAX(0,MIN('Pt 1 Summary of Data'!I42,0.3%*('Pt 1 Summary of Data'!I5-SUM(G9:G10))))</f>
        <v>0</v>
      </c>
      <c r="H7" s="109">
        <v>539</v>
      </c>
      <c r="I7" s="110">
        <v>155</v>
      </c>
      <c r="J7" s="115">
        <f>SUM('Pt 1 Summary of Data'!K37:K41)+MAX(0,MIN('Pt 1 Summary of Data'!K42,0.3%*('Pt 1 Summary of Data'!K5-SUM(J10:J11))))</f>
        <v>31</v>
      </c>
      <c r="K7" s="115">
        <f>SUM(H7:J7)</f>
        <v>725</v>
      </c>
      <c r="L7" s="116">
        <f>SUM('Pt 1 Summary of Data'!O37:O41)+MAX(0,MIN('Pt 1 Summary of Data'!O42,0.3%*('Pt 1 Summary of Data'!O5-L10)))</f>
        <v>0</v>
      </c>
      <c r="M7" s="109">
        <v>170516</v>
      </c>
      <c r="N7" s="110">
        <v>12901</v>
      </c>
      <c r="O7" s="115">
        <f>SUM('Pt 1 Summary of Data'!Q37:Q41)+MAX(0,MIN('Pt 1 Summary of Data'!Q42,0.3%*('Pt 1 Summary of Data'!Q5)))</f>
        <v>-2</v>
      </c>
      <c r="P7" s="115">
        <f>SUM(M7:O7)</f>
        <v>183415</v>
      </c>
      <c r="Q7" s="109">
        <v>0</v>
      </c>
      <c r="R7" s="110">
        <v>0</v>
      </c>
      <c r="S7" s="115">
        <f>SUM('Pt 1 Summary of Data'!V37:V41)+MAX(0,MIN('Pt 1 Summary of Data'!V42,0.3%*('Pt 1 Summary of Data'!V5)))</f>
        <v>0</v>
      </c>
      <c r="T7" s="115">
        <f>SUM(Q7:S7)</f>
        <v>0</v>
      </c>
      <c r="U7" s="109">
        <v>0</v>
      </c>
      <c r="V7" s="110">
        <v>0</v>
      </c>
      <c r="W7" s="115">
        <f>SUM('Pt 1 Summary of Data'!Y37:Y41)+MAX(0,MIN('Pt 1 Summary of Data'!Y42,0.3%*('Pt 1 Summary of Data'!Y5)))</f>
        <v>0</v>
      </c>
      <c r="X7" s="115">
        <f>SUM(U7:W7)</f>
        <v>0</v>
      </c>
      <c r="Y7" s="109">
        <v>0</v>
      </c>
      <c r="Z7" s="110">
        <v>0</v>
      </c>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f>'Pt 2 Premium and Claims'!E58</f>
        <v>0</v>
      </c>
      <c r="F8" s="269">
        <f>E8</f>
        <v>0</v>
      </c>
      <c r="G8" s="270">
        <f>'Pt 2 Premium and Claims'!I58</f>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E9</f>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E10</f>
        <v>0</v>
      </c>
      <c r="G10" s="116">
        <f>'Pt 2 Premium and Claims'!I16</f>
        <v>0</v>
      </c>
      <c r="H10" s="292"/>
      <c r="I10" s="288"/>
      <c r="J10" s="115">
        <f>'Pt 2 Premium and Claims'!K16</f>
        <v>0</v>
      </c>
      <c r="K10" s="115">
        <f>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E11</f>
        <v>0</v>
      </c>
      <c r="G11" s="314"/>
      <c r="H11" s="292"/>
      <c r="I11" s="288"/>
      <c r="J11" s="115">
        <f>L35</f>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 ca="1">SUM(C$6:C$7)+IF(AND(OR('Company Information'!$C$12="District of Columbia",'Company Information'!$C$12="Massachusetts",'Company Information'!$C$12="Vermont"),SUM($C$6:$F$11,$C$15:$F$16,$C$37:$D$37)&lt;&gt;0),SUM(H$6:H$7),0)</f>
        <v>-1460525</v>
      </c>
      <c r="D12" s="115">
        <f ca="1">SUM(D$6:D$7)+IF(AND(OR('Company Information'!$C$12="District of Columbia",'Company Information'!$C$12="Massachusetts",'Company Information'!$C$12="Vermont"),SUM($C$6:$F$11,$C$15:$F$16,$C$37:$D$37)&lt;&gt;0),SUM(I$6:I$7),0)</f>
        <v>52757</v>
      </c>
      <c r="E12" s="115">
        <f ca="1">SUM(E$6:E$7)-SUM(E$8:E$11)+IF(AND(OR('Company Information'!$C$12="District of Columbia",'Company Information'!$C$12="Massachusetts",'Company Information'!$C$12="Vermont"),SUM($C$6:$F$11,$C$15:$F$16,$C$37:$D$37)&lt;&gt;0),SUM(J$6:J$7)-SUM(J$10:J$11),0)</f>
        <v>-38856</v>
      </c>
      <c r="F12" s="115">
        <f ca="1">IFERROR(SUM(C$12:E$12)+C$17*MAX(0,E$49-C$49)+D$17*MAX(0,E$49-D$49),0)</f>
        <v>-1446624</v>
      </c>
      <c r="G12" s="311"/>
      <c r="H12" s="114">
        <f>SUM(H$6:H$7)+IF(AND(OR('Company Information'!$C$12="District of Columbia",'Company Information'!$C$12="Massachusetts",'Company Information'!$C$12="Vermont"),SUM($H$6:$K$11,$H$15:$K$16,$H$37:$I$37)&lt;&gt;0),SUM(C$6:C$7),0)</f>
        <v>-1460525</v>
      </c>
      <c r="I12" s="115">
        <f>SUM(I$6:I$7)+IF(AND(OR('Company Information'!$C$12="District of Columbia",'Company Information'!$C$12="Massachusetts",'Company Information'!$C$12="Vermont"),SUM($H$6:$K$11,$H$15:$K$16,$H$37:$I$37)&lt;&gt;0),SUM(D$6:D$7),0)</f>
        <v>52757</v>
      </c>
      <c r="J12" s="115">
        <f>SUM(J$6:J$7)-SUM(J$10:J$11)+IF(AND(OR('Company Information'!$C$12="District of Columbia",'Company Information'!$C$12="Massachusetts",'Company Information'!$C$12="Vermont"),SUM($H$6:$K$11,$H$15:$K$16,$H$37:$I$37)&lt;&gt;0),SUM(E$6:E$7)-SUM(E$8:E$11),0)</f>
        <v>-38856</v>
      </c>
      <c r="K12" s="115">
        <f>IFERROR(SUM(H$12:J$12)+H$17*MAX(0,J$49-H$49)+I$17*MAX(0,J$49-I$49),0)</f>
        <v>-1446624</v>
      </c>
      <c r="L12" s="311"/>
      <c r="M12" s="114">
        <f>SUM(M$6:M$7)</f>
        <v>21188855</v>
      </c>
      <c r="N12" s="115">
        <f>SUM(N$6:N$7)</f>
        <v>3039034</v>
      </c>
      <c r="O12" s="115">
        <f>SUM(O$6:O$7)</f>
        <v>125938</v>
      </c>
      <c r="P12" s="115">
        <f>SUM(M$12:O$12)+M$17*MAX(0,O$49-M$49)+N$17*MAX(0,O$49-N$49)</f>
        <v>24353827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84043.75</v>
      </c>
      <c r="Z13" s="115">
        <f>1.5*SUM(Z$6:Z$7)</f>
        <v>77658</v>
      </c>
      <c r="AA13" s="115">
        <f>1.25*SUM(AA$6:AA$7)</f>
        <v>0</v>
      </c>
      <c r="AB13" s="115">
        <f>1.25*(SUM(AB$6:AB$7)+Y$17*MAX(0,AA$49-Y$49)+Z$17*MAX(0,AA$49-Z$49))</f>
        <v>124746.25</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f>SUM('Pt 1 Summary of Data'!E$5:E$7)+SUM('Pt 1 Summary of Data'!G$5:G$7)-SUM('Pt 1 Summary of Data'!H$5:H$7)-SUM(E$9:E$11)+D$55</f>
        <v>0</v>
      </c>
      <c r="F15" s="106">
        <f>SUM(C15:E15)</f>
        <v>0</v>
      </c>
      <c r="G15" s="107">
        <f>SUM('Pt 1 Summary of Data'!I$5:I$7)-SUM(G$9:G$10)</f>
        <v>0</v>
      </c>
      <c r="H15" s="117">
        <v>15675</v>
      </c>
      <c r="I15" s="118">
        <v>87563</v>
      </c>
      <c r="J15" s="106">
        <f>SUM('Pt 1 Summary of Data'!K$5:K$7)+SUM('Pt 1 Summary of Data'!M$5:M$7)-SUM('Pt 1 Summary of Data'!N$5:N$7)-SUM(J$10:J$11)+I$55</f>
        <v>11388</v>
      </c>
      <c r="K15" s="106">
        <f>SUM(H15:J15)</f>
        <v>114626</v>
      </c>
      <c r="L15" s="107">
        <f>SUM('Pt 1 Summary of Data'!O5:O7)-L10</f>
        <v>0</v>
      </c>
      <c r="M15" s="117">
        <v>27277739</v>
      </c>
      <c r="N15" s="118">
        <v>3476098</v>
      </c>
      <c r="O15" s="106">
        <f>SUM('Pt 1 Summary of Data'!Q5:Q7)+N55</f>
        <v>139597</v>
      </c>
      <c r="P15" s="106">
        <f>SUM(M15:O15)</f>
        <v>30893434</v>
      </c>
      <c r="Q15" s="117">
        <v>0</v>
      </c>
      <c r="R15" s="118">
        <v>0</v>
      </c>
      <c r="S15" s="106">
        <f>SUM('Pt 1 Summary of Data'!V5:V7)+R55</f>
        <v>0</v>
      </c>
      <c r="T15" s="106">
        <f>SUM(Q15:S15)</f>
        <v>0</v>
      </c>
      <c r="U15" s="117">
        <v>0</v>
      </c>
      <c r="V15" s="118">
        <v>0</v>
      </c>
      <c r="W15" s="106">
        <f>SUM('Pt 1 Summary of Data'!Y5:Y7)+V55</f>
        <v>0</v>
      </c>
      <c r="X15" s="106">
        <f>SUM(U15:W15)</f>
        <v>0</v>
      </c>
      <c r="Y15" s="117">
        <v>79656</v>
      </c>
      <c r="Z15" s="118">
        <v>63891</v>
      </c>
      <c r="AA15" s="106">
        <f>SUM('Pt 1 Summary of Data'!AB5:AB7)+Z55</f>
        <v>0</v>
      </c>
      <c r="AB15" s="106">
        <f>SUM(Y15:AA15)</f>
        <v>143547</v>
      </c>
      <c r="AC15" s="347"/>
      <c r="AD15" s="346"/>
      <c r="AE15" s="346"/>
      <c r="AF15" s="346"/>
      <c r="AG15" s="347"/>
      <c r="AH15" s="346"/>
      <c r="AI15" s="346"/>
      <c r="AJ15" s="346"/>
      <c r="AK15" s="347"/>
      <c r="AL15" s="118"/>
      <c r="AM15" s="106"/>
      <c r="AN15" s="254"/>
    </row>
    <row r="16" spans="1:40" x14ac:dyDescent="0.2">
      <c r="B16" s="191" t="s">
        <v>313</v>
      </c>
      <c r="C16" s="109">
        <v>-222</v>
      </c>
      <c r="D16" s="110">
        <v>206</v>
      </c>
      <c r="E16" s="115">
        <f>'Pt 1 Summary of Data'!E25+'Pt 1 Summary of Data'!E26+'Pt 1 Summary of Data'!E27+'Pt 1 Summary of Data'!E28+'Pt 1 Summary of Data'!E30+'Pt 1 Summary of Data'!E31+'Pt 1 Summary of Data'!E34+'Pt 1 Summary of Data'!E35+'Pt 3 MLR and Rebate Calculation'!D56</f>
        <v>-78</v>
      </c>
      <c r="F16" s="115">
        <f>SUM(C16:E16)</f>
        <v>-94</v>
      </c>
      <c r="G16" s="116">
        <f>'Pt 1 Summary of Data'!I25+'Pt 1 Summary of Data'!I26+'Pt 1 Summary of Data'!I27+'Pt 1 Summary of Data'!I28+'Pt 1 Summary of Data'!I30+'Pt 1 Summary of Data'!I31+'Pt 1 Summary of Data'!I34+'Pt 1 Summary of Data'!I35</f>
        <v>0</v>
      </c>
      <c r="H16" s="109">
        <v>745151</v>
      </c>
      <c r="I16" s="110">
        <v>3577</v>
      </c>
      <c r="J16" s="115">
        <f>'Pt 1 Summary of Data'!K25+'Pt 1 Summary of Data'!K26+'Pt 1 Summary of Data'!K27+'Pt 1 Summary of Data'!K28+'Pt 1 Summary of Data'!K30+'Pt 1 Summary of Data'!K31+'Pt 1 Summary of Data'!K34+'Pt 1 Summary of Data'!K35+'Pt 3 MLR and Rebate Calculation'!I56</f>
        <v>-12636</v>
      </c>
      <c r="K16" s="115">
        <f>SUM(H16:J16)</f>
        <v>736092</v>
      </c>
      <c r="L16" s="116">
        <f>'Pt 1 Summary of Data'!O25+'Pt 1 Summary of Data'!O26+'Pt 1 Summary of Data'!O27+'Pt 1 Summary of Data'!O28+'Pt 1 Summary of Data'!O30+'Pt 1 Summary of Data'!O31+'Pt 1 Summary of Data'!O34+'Pt 1 Summary of Data'!O35</f>
        <v>0</v>
      </c>
      <c r="M16" s="109">
        <v>1915647</v>
      </c>
      <c r="N16" s="110">
        <v>213483</v>
      </c>
      <c r="O16" s="115">
        <f>'Pt 1 Summary of Data'!Q25+'Pt 1 Summary of Data'!Q26+'Pt 1 Summary of Data'!Q27+'Pt 1 Summary of Data'!Q28+'Pt 1 Summary of Data'!Q30+'Pt 1 Summary of Data'!Q31+'Pt 1 Summary of Data'!Q34+'Pt 1 Summary of Data'!Q35+'Pt 3 MLR and Rebate Calculation'!N56</f>
        <v>-22503</v>
      </c>
      <c r="P16" s="115">
        <f>SUM(M16:O16)</f>
        <v>2106627</v>
      </c>
      <c r="Q16" s="109">
        <v>0</v>
      </c>
      <c r="R16" s="110">
        <v>0</v>
      </c>
      <c r="S16" s="115">
        <f>'Pt 1 Summary of Data'!V25+'Pt 1 Summary of Data'!V26+'Pt 1 Summary of Data'!V27+'Pt 1 Summary of Data'!V28+'Pt 1 Summary of Data'!V30+'Pt 1 Summary of Data'!V31+'Pt 1 Summary of Data'!V34+'Pt 1 Summary of Data'!V35+'Pt 3 MLR and Rebate Calculation'!R56</f>
        <v>0</v>
      </c>
      <c r="T16" s="115">
        <f>SUM(Q16:S16)</f>
        <v>0</v>
      </c>
      <c r="U16" s="109">
        <v>0</v>
      </c>
      <c r="V16" s="110">
        <v>0</v>
      </c>
      <c r="W16" s="115">
        <f>'Pt 1 Summary of Data'!Y25+'Pt 1 Summary of Data'!Y26+'Pt 1 Summary of Data'!Y27+'Pt 1 Summary of Data'!Y28+'Pt 1 Summary of Data'!Y30+'Pt 1 Summary of Data'!Y31+'Pt 1 Summary of Data'!Y34+'Pt 1 Summary of Data'!Y35+'Pt 3 MLR and Rebate Calculation'!V56</f>
        <v>0</v>
      </c>
      <c r="X16" s="115">
        <f>SUM(U16:W16)</f>
        <v>0</v>
      </c>
      <c r="Y16" s="109">
        <v>5449</v>
      </c>
      <c r="Z16" s="110">
        <v>2541</v>
      </c>
      <c r="AA16" s="115">
        <f>'Pt 1 Summary of Data'!AB25+'Pt 1 Summary of Data'!AB26+'Pt 1 Summary of Data'!AB27+'Pt 1 Summary of Data'!AB28+'Pt 1 Summary of Data'!AB30+'Pt 1 Summary of Data'!AB31+'Pt 1 Summary of Data'!AB34+'Pt 1 Summary of Data'!AB35+'Pt 3 MLR and Rebate Calculation'!Z56</f>
        <v>71</v>
      </c>
      <c r="AB16" s="115">
        <f>SUM(Y16:AA16)</f>
        <v>8061</v>
      </c>
      <c r="AC16" s="292"/>
      <c r="AD16" s="288"/>
      <c r="AE16" s="288"/>
      <c r="AF16" s="288"/>
      <c r="AG16" s="292"/>
      <c r="AH16" s="288"/>
      <c r="AI16" s="288"/>
      <c r="AJ16" s="288"/>
      <c r="AK16" s="292"/>
      <c r="AL16" s="110"/>
      <c r="AM16" s="115"/>
      <c r="AN16" s="253"/>
    </row>
    <row r="17" spans="1:40" s="76" customFormat="1" x14ac:dyDescent="0.2">
      <c r="A17" s="143"/>
      <c r="B17" s="192" t="s">
        <v>320</v>
      </c>
      <c r="C17" s="114">
        <f ca="1">C$15-C$16+IF(AND(OR('Company Information'!$C$12="District of Columbia",'Company Information'!$C$12="Massachusetts",'Company Information'!$C$12="Vermont"),SUM($C$6:$F$11,$C$15:$F$16,$C$37:$D$37)&lt;&gt;0),H$15-H$16,0)</f>
        <v>-729254</v>
      </c>
      <c r="D17" s="115">
        <f ca="1">D$15-D$16+IF(AND(OR('Company Information'!$C$12="District of Columbia",'Company Information'!$C$12="Massachusetts",'Company Information'!$C$12="Vermont"),SUM($C$6:$F$11,$C$15:$F$16,$C$37:$D$37)&lt;&gt;0),I$15-I$16,0)</f>
        <v>83780</v>
      </c>
      <c r="E17" s="115">
        <f ca="1">E$15-E$16+IF(AND(OR('Company Information'!$C$12="District of Columbia",'Company Information'!$C$12="Massachusetts",'Company Information'!$C$12="Vermont"),SUM($C$6:$F$11,$C$15:$F$16,$C$37:$D$37)&lt;&gt;0),J$15-J$16,0)</f>
        <v>24102</v>
      </c>
      <c r="F17" s="115">
        <f ca="1">F$15-F$16+IF(AND(OR('Company Information'!$C$12="District of Columbia",'Company Information'!$C$12="Massachusetts",'Company Information'!$C$12="Vermont"),SUM($C$6:$F$11,$C$15:$F$16,$C$37:$D$37)&lt;&gt;0),K$15-K$16,0)</f>
        <v>-621372</v>
      </c>
      <c r="G17" s="314"/>
      <c r="H17" s="114">
        <f>H$15-H$16+IF(AND(OR('Company Information'!$C$12="District of Columbia",'Company Information'!$C$12="Massachusetts",'Company Information'!$C$12="Vermont"),SUM($H$6:$K$11,$H$15:$K$16,$H$37:$I$37)&lt;&gt;0),C$15-C$16,0)</f>
        <v>-729254</v>
      </c>
      <c r="I17" s="115">
        <f>I$15-I$16+IF(AND(OR('Company Information'!$C$12="District of Columbia",'Company Information'!$C$12="Massachusetts",'Company Information'!$C$12="Vermont"),SUM($H$6:$K$11,$H$15:$K$16,$H$37:$I$37)&lt;&gt;0),D$15-D$16,0)</f>
        <v>83780</v>
      </c>
      <c r="J17" s="115">
        <f>J$15-J$16+IF(AND(OR('Company Information'!$C$12="District of Columbia",'Company Information'!$C$12="Massachusetts",'Company Information'!$C$12="Vermont"),SUM($H$6:$K$11,$H$15:$K$16,$H$37:$I$37)&lt;&gt;0),E$15-E$16,0)</f>
        <v>24102</v>
      </c>
      <c r="K17" s="115">
        <f>K$15-K$16+IF(AND(OR('Company Information'!$C$12="District of Columbia",'Company Information'!$C$12="Massachusetts",'Company Information'!$C$12="Vermont"),SUM($H$6:$K$11,$H$15:$K$16,$H$37:$I$37)&lt;&gt;0),F$15-F$16,0)</f>
        <v>-621372</v>
      </c>
      <c r="L17" s="314"/>
      <c r="M17" s="114">
        <f>M$15-M$16</f>
        <v>25362092</v>
      </c>
      <c r="N17" s="115">
        <f>N$15-N$16</f>
        <v>3262615</v>
      </c>
      <c r="O17" s="115">
        <f>O$15-O$16</f>
        <v>162100</v>
      </c>
      <c r="P17" s="115">
        <f>P$15-P$16</f>
        <v>28786807</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74207</v>
      </c>
      <c r="Z17" s="115">
        <f>Z$15-Z$16</f>
        <v>61350</v>
      </c>
      <c r="AA17" s="115">
        <f>AA$15-AA$16</f>
        <v>-71</v>
      </c>
      <c r="AB17" s="115">
        <f>AB$15-AB$16</f>
        <v>135486</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f>0</f>
        <v>0</v>
      </c>
      <c r="H22" s="292"/>
      <c r="I22" s="288"/>
      <c r="J22" s="288"/>
      <c r="K22" s="288"/>
      <c r="L22" s="139">
        <f>0</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f>0</f>
        <v>0</v>
      </c>
      <c r="H34" s="292"/>
      <c r="I34" s="288"/>
      <c r="J34" s="288"/>
      <c r="K34" s="288"/>
      <c r="L34" s="116">
        <f>0</f>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f>0</f>
        <v>0</v>
      </c>
      <c r="H35" s="292"/>
      <c r="I35" s="288"/>
      <c r="J35" s="288"/>
      <c r="K35" s="288"/>
      <c r="L35" s="116">
        <f>0</f>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8</v>
      </c>
      <c r="E37" s="256">
        <v>6</v>
      </c>
      <c r="F37" s="256">
        <v>16</v>
      </c>
      <c r="G37" s="312"/>
      <c r="H37" s="121">
        <v>2</v>
      </c>
      <c r="I37" s="122">
        <v>8</v>
      </c>
      <c r="J37" s="256">
        <f>'Pt 1 Summary of Data'!K60</f>
        <v>5.75</v>
      </c>
      <c r="K37" s="256">
        <f>SUM(H37:J37)</f>
        <v>15.75</v>
      </c>
      <c r="L37" s="312"/>
      <c r="M37" s="121">
        <v>5248</v>
      </c>
      <c r="N37" s="122">
        <v>603</v>
      </c>
      <c r="O37" s="256">
        <f>'Pt 1 Summary of Data'!Q60</f>
        <v>0</v>
      </c>
      <c r="P37" s="256">
        <f>SUM(M37:O37)</f>
        <v>5851</v>
      </c>
      <c r="Q37" s="121">
        <v>0</v>
      </c>
      <c r="R37" s="122">
        <v>0</v>
      </c>
      <c r="S37" s="256">
        <f>'Pt 1 Summary of Data'!V60</f>
        <v>0</v>
      </c>
      <c r="T37" s="256">
        <f>SUM(Q37:S37)</f>
        <v>0</v>
      </c>
      <c r="U37" s="121">
        <v>0</v>
      </c>
      <c r="V37" s="122">
        <v>0</v>
      </c>
      <c r="W37" s="256">
        <f>'Pt 1 Summary of Data'!Y60</f>
        <v>0</v>
      </c>
      <c r="X37" s="256">
        <f>SUM(U37:W37)</f>
        <v>0</v>
      </c>
      <c r="Y37" s="121">
        <v>87</v>
      </c>
      <c r="Z37" s="122">
        <v>64</v>
      </c>
      <c r="AA37" s="256">
        <f>'Pt 1 Summary of Data'!AB60</f>
        <v>0</v>
      </c>
      <c r="AB37" s="256">
        <f>SUM(Y37:AA37)</f>
        <v>151</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3.5127800000000001E-2</v>
      </c>
      <c r="Q38" s="351"/>
      <c r="R38" s="352"/>
      <c r="S38" s="352"/>
      <c r="T38" s="267">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0</v>
      </c>
      <c r="G41" s="311"/>
      <c r="H41" s="292"/>
      <c r="I41" s="288"/>
      <c r="J41" s="288"/>
      <c r="K41" s="260">
        <f>IF(OR(K$37&lt;1000,K$37&gt;=75000),0,K$38*K$40)</f>
        <v>0</v>
      </c>
      <c r="L41" s="311"/>
      <c r="M41" s="292"/>
      <c r="N41" s="288"/>
      <c r="O41" s="288"/>
      <c r="P41" s="260">
        <f ca="1">IF(OR(P$37&lt;1000,P$37&gt;=75000),0,P$38*P$40)</f>
        <v>3.5127800000000001E-2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 ca="1">IF(OR(C$37&lt;1000,C$17&lt;=0),"",C$12/C$17)</f>
        <v/>
      </c>
      <c r="D44" s="260" t="str">
        <f ca="1">IF(OR(D$37&lt;1000,D$17&lt;=0),"",D$12/D$17)</f>
        <v/>
      </c>
      <c r="E44" s="260" t="str">
        <f ca="1">IF(OR(E$37&lt;1000,E$17&lt;=0),"",E$12/E$17)</f>
        <v/>
      </c>
      <c r="F44" s="260" t="str">
        <f ca="1">IF(OR(F$37&lt;1000,F$17&lt;=0),"",F$12/F$17)</f>
        <v/>
      </c>
      <c r="G44" s="311"/>
      <c r="H44" s="262" t="str">
        <f>IF(OR(H$37&lt;1000,H$17&lt;=0),"",H$12/H$17)</f>
        <v/>
      </c>
      <c r="I44" s="260" t="str">
        <f>IF(OR(I$37&lt;1000,I$17&lt;=0),"",I$12/I$17)</f>
        <v/>
      </c>
      <c r="J44" s="260" t="str">
        <f>IF(OR(J$37&lt;1000,J$17&lt;=0),"",J$12/J$17)</f>
        <v/>
      </c>
      <c r="K44" s="260" t="str">
        <f>IF(OR(K$37&lt;1000,K$17&lt;=0),"",K$12/K$17)</f>
        <v/>
      </c>
      <c r="L44" s="311"/>
      <c r="M44" s="262">
        <f>IF(OR(M$37&lt;1000,M$17&lt;=0),"",M$12/M$17)</f>
        <v>0.835453755155529</v>
      </c>
      <c r="N44" s="260" t="str">
        <f>IF(OR(N$37&lt;1000,N$17&lt;=0),"",N$12/N$17)</f>
        <v/>
      </c>
      <c r="O44" s="260" t="str">
        <f>IF(OR(O$37&lt;1000,O$17&lt;=0),"",O$12/O$17)</f>
        <v/>
      </c>
      <c r="P44" s="260">
        <f>IF(OR(P$37&lt;1000,P$17&lt;=0),"",P$12/P$17)</f>
        <v>0.84600654042666146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0">IF(OR(Q$37&lt;1000,Q$17&lt;=0),"",Q$13/Q$17)</f>
        <v/>
      </c>
      <c r="R45" s="260" t="str">
        <f t="shared" si="0"/>
        <v/>
      </c>
      <c r="S45" s="260" t="str">
        <f t="shared" si="0"/>
        <v/>
      </c>
      <c r="T45" s="260" t="str">
        <f t="shared" si="0"/>
        <v/>
      </c>
      <c r="U45" s="262" t="str">
        <f t="shared" si="0"/>
        <v/>
      </c>
      <c r="V45" s="260" t="str">
        <f t="shared" si="0"/>
        <v/>
      </c>
      <c r="W45" s="260" t="str">
        <f t="shared" si="0"/>
        <v/>
      </c>
      <c r="X45" s="260" t="str">
        <f t="shared" si="0"/>
        <v/>
      </c>
      <c r="Y45" s="262" t="str">
        <f t="shared" si="0"/>
        <v/>
      </c>
      <c r="Z45" s="260" t="str">
        <f t="shared" si="0"/>
        <v/>
      </c>
      <c r="AA45" s="260" t="str">
        <f t="shared" si="0"/>
        <v/>
      </c>
      <c r="AB45" s="260" t="str">
        <f t="shared" si="0"/>
        <v/>
      </c>
      <c r="AC45" s="292"/>
      <c r="AD45" s="288"/>
      <c r="AE45" s="288"/>
      <c r="AF45" s="288"/>
      <c r="AG45" s="292"/>
      <c r="AH45" s="288"/>
      <c r="AI45" s="288"/>
      <c r="AJ45" s="288"/>
      <c r="AK45" s="292"/>
      <c r="AL45" s="260"/>
      <c r="AM45" s="260"/>
      <c r="AN45" s="261"/>
    </row>
    <row r="46" spans="1:40" x14ac:dyDescent="0.2">
      <c r="B46" s="197" t="s">
        <v>330</v>
      </c>
      <c r="C46" s="292"/>
      <c r="D46" s="288"/>
      <c r="E46" s="288"/>
      <c r="F46" s="260">
        <f ca="1">IF(F37&lt;1000,0,F41)</f>
        <v>0</v>
      </c>
      <c r="G46" s="311"/>
      <c r="H46" s="292"/>
      <c r="I46" s="288"/>
      <c r="J46" s="288"/>
      <c r="K46" s="260">
        <f>IF(K37&lt;1000,0,K41)</f>
        <v>0</v>
      </c>
      <c r="L46" s="311"/>
      <c r="M46" s="292"/>
      <c r="N46" s="288"/>
      <c r="O46" s="288"/>
      <c r="P46" s="260">
        <f ca="1">IF(P37&lt;1000,0,P41)</f>
        <v>3.5127800000000001E-2</v>
      </c>
      <c r="Q46" s="293"/>
      <c r="R46" s="289"/>
      <c r="S46" s="289"/>
      <c r="T46" s="260">
        <f>IF(T37&lt;1000,0,T41)</f>
        <v>0</v>
      </c>
      <c r="U46" s="293"/>
      <c r="V46" s="289"/>
      <c r="W46" s="289"/>
      <c r="X46" s="260">
        <f>IF(X37&lt;1000,0,X41)</f>
        <v>0</v>
      </c>
      <c r="Y46" s="293"/>
      <c r="Z46" s="289"/>
      <c r="AA46" s="289"/>
      <c r="AB46" s="260">
        <f>IF(AB37&lt;1000,0,AB41)</f>
        <v>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 ca="1">IF(F$44="","",ROUND(F$44+MAX(0,F$46),3))</f>
        <v/>
      </c>
      <c r="G47" s="311"/>
      <c r="H47" s="292"/>
      <c r="I47" s="288"/>
      <c r="J47" s="288"/>
      <c r="K47" s="260" t="str">
        <f>IF(K$44="","",ROUND(K$44+MAX(0,K$46),3))</f>
        <v/>
      </c>
      <c r="L47" s="311"/>
      <c r="M47" s="292"/>
      <c r="N47" s="288"/>
      <c r="O47" s="288"/>
      <c r="P47" s="260">
        <f ca="1">IF(P$44="","",ROUND(P$44+MAX(0,P$46),3))</f>
        <v>0.88100000000000001</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f>E49</f>
        <v>0.8</v>
      </c>
      <c r="G49" s="312"/>
      <c r="H49" s="140">
        <v>0.8</v>
      </c>
      <c r="I49" s="141">
        <v>0.8</v>
      </c>
      <c r="J49" s="141">
        <v>0.8</v>
      </c>
      <c r="K49" s="141">
        <f>J49</f>
        <v>0.8</v>
      </c>
      <c r="L49" s="312"/>
      <c r="M49" s="140">
        <v>0.85</v>
      </c>
      <c r="N49" s="141">
        <v>0.85</v>
      </c>
      <c r="O49" s="141">
        <v>0.85</v>
      </c>
      <c r="P49" s="141">
        <f>O49</f>
        <v>0.85</v>
      </c>
      <c r="Q49" s="140">
        <v>0</v>
      </c>
      <c r="R49" s="141">
        <v>0</v>
      </c>
      <c r="S49" s="141">
        <v>0</v>
      </c>
      <c r="T49" s="141">
        <f>S49</f>
        <v>0</v>
      </c>
      <c r="U49" s="140">
        <v>0</v>
      </c>
      <c r="V49" s="141">
        <v>0</v>
      </c>
      <c r="W49" s="141">
        <v>0</v>
      </c>
      <c r="X49" s="141">
        <f>W49</f>
        <v>0</v>
      </c>
      <c r="Y49" s="140">
        <v>0.85</v>
      </c>
      <c r="Z49" s="141">
        <v>0.85</v>
      </c>
      <c r="AA49" s="141">
        <v>0.85</v>
      </c>
      <c r="AB49" s="141">
        <f>AA49</f>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 ca="1">F47</f>
        <v/>
      </c>
      <c r="G50" s="311"/>
      <c r="H50" s="293"/>
      <c r="I50" s="289"/>
      <c r="J50" s="289"/>
      <c r="K50" s="260" t="str">
        <f>K47</f>
        <v/>
      </c>
      <c r="L50" s="311"/>
      <c r="M50" s="293"/>
      <c r="N50" s="289"/>
      <c r="O50" s="289"/>
      <c r="P50" s="260">
        <f ca="1">P47</f>
        <v>0.88100000000000001</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 ca="1">IF(F37&lt;1000,"",MAX(0,E15-E16))</f>
        <v/>
      </c>
      <c r="G51" s="311"/>
      <c r="H51" s="292"/>
      <c r="I51" s="288"/>
      <c r="J51" s="288"/>
      <c r="K51" s="115" t="str">
        <f>IF(K37&lt;1000,"",MAX(0,J15-J16))</f>
        <v/>
      </c>
      <c r="L51" s="311"/>
      <c r="M51" s="292"/>
      <c r="N51" s="288"/>
      <c r="O51" s="288"/>
      <c r="P51" s="115">
        <f>IF(P37&lt;1000,"",MAX(0,O15-O16))</f>
        <v>162100</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IF(F51&lt;0,0,IF(F37&lt;1000,0,MAX(0,(F49-F50)*F51)))</f>
        <v>0</v>
      </c>
      <c r="G52" s="311"/>
      <c r="H52" s="292"/>
      <c r="I52" s="288"/>
      <c r="J52" s="288"/>
      <c r="K52" s="115">
        <f>IF(K51&lt;0,0,IF(K37&lt;1000,0,MAX(0,(K49-K50)*K51)))</f>
        <v>0</v>
      </c>
      <c r="L52" s="311"/>
      <c r="M52" s="292"/>
      <c r="N52" s="288"/>
      <c r="O52" s="288"/>
      <c r="P52" s="115">
        <f ca="1">IF(P51&lt;0,0,IF(P37&lt;1000,0,MAX(0,(P49-P50)*P51)))</f>
        <v>0</v>
      </c>
      <c r="Q52" s="292"/>
      <c r="R52" s="288"/>
      <c r="S52" s="288"/>
      <c r="T52" s="115">
        <f>IF(T51&lt;0,0,IF(T37&lt;1000,0,MAX(0,(T49-T50)*T51)))</f>
        <v>0</v>
      </c>
      <c r="U52" s="292"/>
      <c r="V52" s="288"/>
      <c r="W52" s="288"/>
      <c r="X52" s="115">
        <f>IF(X51&lt;0,0,IF(X37&lt;1000,0,MAX(0,(X49-X50)*X51)))</f>
        <v>0</v>
      </c>
      <c r="Y52" s="292"/>
      <c r="Z52" s="288"/>
      <c r="AA52" s="288"/>
      <c r="AB52" s="115">
        <f>IF(AB51&lt;0,0,IF(AB37&lt;1000,0,MAX(0,(AB49-AB50)*AB51)))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129</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53</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0</v>
      </c>
      <c r="D4" s="149">
        <f>'Pt 1 Summary of Data'!J56</f>
        <v>3</v>
      </c>
      <c r="E4" s="149">
        <f>'Pt 1 Summary of Data'!P56</f>
        <v>0</v>
      </c>
      <c r="F4" s="149">
        <f>'Pt 1 Summary of Data'!U56</f>
        <v>0</v>
      </c>
      <c r="G4" s="149">
        <f>'Pt 1 Summary of Data'!X56</f>
        <v>0</v>
      </c>
      <c r="H4" s="149">
        <f>'Pt 1 Summary of Data'!AA56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f>'Pt 1 Summary of Data'!D18</f>
        <v>0</v>
      </c>
      <c r="D16" s="119">
        <f>'Pt 1 Summary of Data'!J18</f>
        <v>0</v>
      </c>
      <c r="E16" s="119">
        <f>'Pt 1 Summary of Data'!P18</f>
        <v>0</v>
      </c>
      <c r="F16" s="119">
        <f>'Pt 1 Summary of Data'!U18</f>
        <v>0</v>
      </c>
      <c r="G16" s="119">
        <f>'Pt 1 Summary of Data'!X18</f>
        <v>0</v>
      </c>
      <c r="H16" s="119">
        <f>'Pt 1 Summary of Data'!AA18</f>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c r="E23" s="382"/>
      <c r="F23" s="382"/>
      <c r="G23" s="382"/>
      <c r="H23" s="382"/>
      <c r="I23" s="382"/>
      <c r="J23" s="382"/>
      <c r="K23" s="383"/>
    </row>
    <row r="24" spans="2:12" s="5" customFormat="1" ht="100.15" customHeight="1" x14ac:dyDescent="0.2">
      <c r="B24" s="101" t="s">
        <v>213</v>
      </c>
      <c r="C24" s="384" t="s">
        <v>508</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t="s">
        <v>506</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Babinov, Victor  (CTR)      C6ACC</cp:lastModifiedBy>
  <cp:lastPrinted>2014-12-18T11:24:00Z</cp:lastPrinted>
  <dcterms:created xsi:type="dcterms:W3CDTF">2012-03-15T16:14:51Z</dcterms:created>
  <dcterms:modified xsi:type="dcterms:W3CDTF">2015-07-29T20:15:16Z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