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46" i="10"/>
  <c r="Z17" i="10"/>
  <c r="Z13" i="10"/>
  <c r="Y17" i="10"/>
  <c r="Y46" i="10" s="1"/>
  <c r="Y13" i="10"/>
  <c r="X41" i="10"/>
  <c r="W16" i="10"/>
  <c r="X16" i="10" s="1"/>
  <c r="T41" i="10"/>
  <c r="S16" i="10"/>
  <c r="T16" i="10" s="1"/>
  <c r="S15" i="10"/>
  <c r="P41" i="10"/>
  <c r="O38" i="10"/>
  <c r="O16" i="10"/>
  <c r="P16" i="10" s="1"/>
  <c r="N17" i="10"/>
  <c r="N45" i="10" s="1"/>
  <c r="N12" i="10"/>
  <c r="M45" i="10"/>
  <c r="M17" i="10"/>
  <c r="M12" i="10"/>
  <c r="L60" i="10"/>
  <c r="L59" i="10"/>
  <c r="L36" i="10"/>
  <c r="L35" i="10"/>
  <c r="L16" i="10"/>
  <c r="L10" i="10"/>
  <c r="L15" i="10" s="1"/>
  <c r="K41" i="10"/>
  <c r="K16" i="10"/>
  <c r="K11" i="10"/>
  <c r="K10" i="10"/>
  <c r="J16" i="10"/>
  <c r="J11" i="10"/>
  <c r="J10" i="10"/>
  <c r="G60" i="10"/>
  <c r="G59" i="10"/>
  <c r="G36" i="10"/>
  <c r="G35" i="10"/>
  <c r="G16" i="10"/>
  <c r="G10" i="10"/>
  <c r="G9" i="10"/>
  <c r="G8" i="10"/>
  <c r="F41" i="10"/>
  <c r="F8" i="10"/>
  <c r="E16" i="10"/>
  <c r="F16" i="10" s="1"/>
  <c r="E11" i="10"/>
  <c r="F11" i="10" s="1"/>
  <c r="E10" i="10"/>
  <c r="F10" i="10" s="1"/>
  <c r="E9" i="10"/>
  <c r="F9" i="10" s="1"/>
  <c r="E8" i="10"/>
  <c r="AU55" i="18"/>
  <c r="AU54" i="18"/>
  <c r="AT55" i="18"/>
  <c r="AT22" i="4" s="1"/>
  <c r="AT54" i="18"/>
  <c r="AT12" i="4" s="1"/>
  <c r="AS55" i="18"/>
  <c r="AS54" i="18"/>
  <c r="AC55" i="18"/>
  <c r="AC22" i="4" s="1"/>
  <c r="AC54" i="18"/>
  <c r="AC12" i="4" s="1"/>
  <c r="AB55" i="18"/>
  <c r="AB54" i="18"/>
  <c r="AA55" i="18"/>
  <c r="AA22" i="4" s="1"/>
  <c r="AA54" i="18"/>
  <c r="AA12" i="4" s="1"/>
  <c r="Z55" i="18"/>
  <c r="Z54" i="18"/>
  <c r="Y55" i="18"/>
  <c r="Y22" i="4" s="1"/>
  <c r="W6" i="10" s="1"/>
  <c r="Y54" i="18"/>
  <c r="Y12" i="4"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L6" i="10" s="1"/>
  <c r="O54" i="18"/>
  <c r="O12" i="4" s="1"/>
  <c r="N55" i="18"/>
  <c r="N54" i="18"/>
  <c r="M55" i="18"/>
  <c r="M22" i="4" s="1"/>
  <c r="M54" i="18"/>
  <c r="M12" i="4" s="1"/>
  <c r="L55" i="18"/>
  <c r="L54" i="18"/>
  <c r="K55" i="18"/>
  <c r="K22" i="4" s="1"/>
  <c r="J6" i="10" s="1"/>
  <c r="K54" i="18"/>
  <c r="K12" i="4" s="1"/>
  <c r="J55" i="18"/>
  <c r="J54" i="18"/>
  <c r="I55" i="18"/>
  <c r="I22" i="4" s="1"/>
  <c r="I54" i="18"/>
  <c r="I12" i="4" s="1"/>
  <c r="H55" i="18"/>
  <c r="H54" i="18"/>
  <c r="G55" i="18"/>
  <c r="G22" i="4" s="1"/>
  <c r="G54" i="18"/>
  <c r="G12" i="4" s="1"/>
  <c r="F55" i="18"/>
  <c r="F54" i="18"/>
  <c r="E55" i="18"/>
  <c r="E22" i="4" s="1"/>
  <c r="E54" i="18"/>
  <c r="E12" i="4" s="1"/>
  <c r="D55" i="18"/>
  <c r="D54" i="18"/>
  <c r="AV60" i="4"/>
  <c r="AU60" i="4"/>
  <c r="AU22" i="4"/>
  <c r="AU12" i="4"/>
  <c r="AU5" i="4"/>
  <c r="AT60" i="4"/>
  <c r="AT5" i="4"/>
  <c r="AS60" i="4"/>
  <c r="AS22" i="4"/>
  <c r="AS12" i="4"/>
  <c r="AS5" i="4"/>
  <c r="AC60" i="4"/>
  <c r="AC5" i="4"/>
  <c r="AB60" i="4"/>
  <c r="AB22" i="4"/>
  <c r="AB12" i="4"/>
  <c r="AA6" i="10" s="1"/>
  <c r="AB6" i="10" s="1"/>
  <c r="AB5" i="4"/>
  <c r="AA7" i="10" s="1"/>
  <c r="AB7" i="10" s="1"/>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15" i="10" s="1"/>
  <c r="P17" i="10" s="1"/>
  <c r="P60" i="4"/>
  <c r="P22" i="4"/>
  <c r="P12" i="4"/>
  <c r="P5" i="4"/>
  <c r="O60" i="4"/>
  <c r="O5" i="4"/>
  <c r="L7" i="10" s="1"/>
  <c r="N60" i="4"/>
  <c r="N22" i="4"/>
  <c r="N12" i="4"/>
  <c r="N5" i="4"/>
  <c r="M60" i="4"/>
  <c r="M5" i="4"/>
  <c r="L60" i="4"/>
  <c r="L22" i="4"/>
  <c r="L12" i="4"/>
  <c r="L5" i="4"/>
  <c r="K60" i="4"/>
  <c r="K5" i="4"/>
  <c r="J15" i="10" s="1"/>
  <c r="J60" i="4"/>
  <c r="J22" i="4"/>
  <c r="J12" i="4"/>
  <c r="J5" i="4"/>
  <c r="I60" i="4"/>
  <c r="I5" i="4"/>
  <c r="H60" i="4"/>
  <c r="H22" i="4"/>
  <c r="H12" i="4"/>
  <c r="H5" i="4"/>
  <c r="G60" i="4"/>
  <c r="G5" i="4"/>
  <c r="F60" i="4"/>
  <c r="F22" i="4"/>
  <c r="F12" i="4"/>
  <c r="F5" i="4"/>
  <c r="E60" i="4"/>
  <c r="E5" i="4"/>
  <c r="E7" i="10" s="1"/>
  <c r="F7" i="10" s="1"/>
  <c r="D60" i="4"/>
  <c r="D22" i="4"/>
  <c r="D12" i="4"/>
  <c r="D5" i="4"/>
  <c r="K15" i="10" l="1"/>
  <c r="K6" i="10"/>
  <c r="H17" i="10" s="1"/>
  <c r="I17" i="10"/>
  <c r="I45" i="10" s="1"/>
  <c r="J12" i="10"/>
  <c r="I12" i="10"/>
  <c r="L20" i="10"/>
  <c r="X6" i="10"/>
  <c r="U17" i="10" s="1"/>
  <c r="P6" i="10"/>
  <c r="E15" i="10"/>
  <c r="J17" i="10" s="1"/>
  <c r="L58" i="10"/>
  <c r="L19" i="10" s="1"/>
  <c r="AA13" i="10"/>
  <c r="G15" i="10"/>
  <c r="G7" i="10"/>
  <c r="L32" i="10"/>
  <c r="L24" i="10"/>
  <c r="L23" i="10"/>
  <c r="O7" i="10"/>
  <c r="P7" i="10" s="1"/>
  <c r="AB38" i="10"/>
  <c r="W7" i="10"/>
  <c r="X7" i="10" s="1"/>
  <c r="G58" i="10"/>
  <c r="J7" i="10"/>
  <c r="K7" i="10" s="1"/>
  <c r="L27" i="10"/>
  <c r="O17" i="10"/>
  <c r="O45" i="10" s="1"/>
  <c r="T15" i="10"/>
  <c r="AA15" i="10"/>
  <c r="AB13" i="10"/>
  <c r="R13" i="10"/>
  <c r="T6" i="10"/>
  <c r="E6" i="10"/>
  <c r="G6" i="10"/>
  <c r="L22" i="10"/>
  <c r="S38" i="10"/>
  <c r="P38" i="10"/>
  <c r="U46" i="10" l="1"/>
  <c r="H45" i="10"/>
  <c r="W17" i="10"/>
  <c r="V13" i="10"/>
  <c r="W38" i="10"/>
  <c r="T38" i="10"/>
  <c r="F6" i="10"/>
  <c r="C12" i="10" s="1"/>
  <c r="E12" i="10"/>
  <c r="D17" i="10"/>
  <c r="D45" i="10" s="1"/>
  <c r="C17" i="10"/>
  <c r="AA17" i="10"/>
  <c r="AA46" i="10" s="1"/>
  <c r="AB15" i="10"/>
  <c r="AB17" i="10" s="1"/>
  <c r="P53" i="10"/>
  <c r="E11" i="16" s="1"/>
  <c r="P39" i="10"/>
  <c r="P52" i="10"/>
  <c r="P45" i="10"/>
  <c r="P42" i="10"/>
  <c r="R17" i="10"/>
  <c r="R46" i="10" s="1"/>
  <c r="Q17" i="10"/>
  <c r="S13" i="10"/>
  <c r="Q13" i="10"/>
  <c r="T17" i="10"/>
  <c r="G19" i="10"/>
  <c r="S17" i="10"/>
  <c r="S46" i="10" s="1"/>
  <c r="O12" i="10"/>
  <c r="P12" i="10" s="1"/>
  <c r="V17" i="10"/>
  <c r="V46" i="10" s="1"/>
  <c r="L26" i="10"/>
  <c r="L25" i="10" s="1"/>
  <c r="L28" i="10" s="1"/>
  <c r="H12" i="10"/>
  <c r="K12" i="10" s="1"/>
  <c r="X17" i="10"/>
  <c r="L21" i="10"/>
  <c r="L30" i="10"/>
  <c r="L31" i="10" s="1"/>
  <c r="L29" i="10" s="1"/>
  <c r="L33" i="10" s="1"/>
  <c r="L34" i="10" s="1"/>
  <c r="W13" i="10"/>
  <c r="G20" i="10"/>
  <c r="AB42" i="10"/>
  <c r="AB46" i="10"/>
  <c r="AB53" i="10"/>
  <c r="H11" i="16" s="1"/>
  <c r="AB52" i="10"/>
  <c r="AB39" i="10"/>
  <c r="G32" i="10"/>
  <c r="G24" i="10"/>
  <c r="G27" i="10"/>
  <c r="G23" i="10"/>
  <c r="G22" i="10"/>
  <c r="F15" i="10"/>
  <c r="U13" i="10"/>
  <c r="J38" i="10"/>
  <c r="K38" i="10" l="1"/>
  <c r="J45" i="10"/>
  <c r="C45" i="10"/>
  <c r="T42" i="10"/>
  <c r="T46" i="10"/>
  <c r="T39" i="10"/>
  <c r="T53" i="10"/>
  <c r="F11" i="16" s="1"/>
  <c r="T52" i="10"/>
  <c r="AB48" i="10"/>
  <c r="AB51" i="10" s="1"/>
  <c r="AB47" i="10"/>
  <c r="P47" i="10"/>
  <c r="P48" i="10"/>
  <c r="P51" i="10" s="1"/>
  <c r="E38" i="10"/>
  <c r="D12" i="10"/>
  <c r="F12" i="10" s="1"/>
  <c r="G21" i="10"/>
  <c r="G30" i="10"/>
  <c r="G26" i="10"/>
  <c r="G25" i="10" s="1"/>
  <c r="G28" i="10" s="1"/>
  <c r="G31" i="10"/>
  <c r="G29" i="10" s="1"/>
  <c r="G33" i="10" s="1"/>
  <c r="G34" i="10" s="1"/>
  <c r="W46" i="10"/>
  <c r="X38" i="10"/>
  <c r="F17" i="10"/>
  <c r="K17" i="10"/>
  <c r="E17" i="10"/>
  <c r="Q46" i="10"/>
  <c r="T13" i="10"/>
  <c r="X13" i="10"/>
  <c r="E45" i="10" l="1"/>
  <c r="F38" i="10"/>
  <c r="T48" i="10"/>
  <c r="T51" i="10" s="1"/>
  <c r="T47" i="10"/>
  <c r="X53" i="10"/>
  <c r="G11" i="16" s="1"/>
  <c r="X39" i="10"/>
  <c r="X52" i="10"/>
  <c r="X46" i="10"/>
  <c r="X42" i="10"/>
  <c r="K53" i="10"/>
  <c r="D11" i="16" s="1"/>
  <c r="K39" i="10"/>
  <c r="K52" i="10"/>
  <c r="K45" i="10"/>
  <c r="K42" i="10"/>
  <c r="F42" i="10" l="1"/>
  <c r="F45" i="10"/>
  <c r="F53" i="10"/>
  <c r="C11" i="16" s="1"/>
  <c r="F52" i="10"/>
  <c r="F39" i="10"/>
  <c r="K47" i="10"/>
  <c r="K48" i="10"/>
  <c r="K51" i="10" s="1"/>
  <c r="X47" i="10"/>
  <c r="X48" i="10"/>
  <c r="X51" i="10" s="1"/>
  <c r="F48" i="10" l="1"/>
  <c r="F51" i="10" s="1"/>
  <c r="F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<sst xmlns="http://schemas.openxmlformats.org/spreadsheetml/2006/main" count="572" uniqueCount="511">
  <si>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</si>
  <si>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</si>
  <si>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</si>
  <si>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</si>
  <si>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</si>
  <si>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</si>
  <si>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</si>
  <si>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</si>
  <si>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</si>
  <si>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</si>
  <si>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</si>
  <si>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</si>
  <si>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</si>
  <si>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</si>
  <si>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</si>
  <si>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</si>
  <si>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</si>
  <si>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</si>
  <si>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</si>
  <si>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</si>
  <si>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</si>
  <si>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</si>
  <si>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</si>
  <si>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</si>
  <si>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</si>
  <si>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</si>
  <si>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</si>
  <si>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</si>
  <si>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</si>
  <si>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</si>
  <si>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</si>
  <si>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</si>
  <si>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</si>
  <si>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</si>
  <si>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</si>
  <si>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</si>
  <si>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</si>
  <si>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</si>
  <si>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</si>
  <si>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</si>
  <si>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</si>
  <si>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</si>
  <si>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</si>
  <si>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</si>
  <si>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</si>
  <si>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</si>
  <si>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</si>
  <si>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</si>
  <si>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</si>
  <si>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</si>
  <si>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</si>
  <si>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</si>
  <si>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</si>
  <si>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</si>
  <si>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</si>
  <si>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</si>
  <si>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</si>
  <si>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</si>
  <si>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</si>
  <si>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</si>
  <si>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</si>
  <si>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</si>
  <si>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</si>
  <si>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</si>
  <si>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</si>
  <si>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</si>
  <si>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</si>
  <si>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</si>
  <si>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</si>
  <si>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</si>
  <si>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</si>
  <si>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</si>
  <si>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</si>
  <si>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</si>
  <si>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</si>
  <si>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</si>
  <si>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</si>
  <si>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</si>
  <si>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</si>
  <si>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</si>
  <si>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</si>
  <si>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</si>
  <si>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</si>
  <si>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</si>
  <si>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</si>
  <si>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</si>
  <si>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</si>
  <si>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</si>
  <si>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</si>
  <si>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</si>
  <si>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</si>
  <si>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</si>
  <si>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</si>
  <si>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</si>
  <si>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</si>
  <si>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</si>
  <si>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</si>
  <si>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</si>
  <si>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</si>
  <si>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</si>
  <si>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</si>
  <si>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</si>
  <si>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</si>
  <si>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</si>
  <si>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</si>
  <si>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</si>
  <si>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</si>
  <si>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</si>
  <si>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</si>
  <si>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</si>
  <si>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</si>
  <si>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</si>
  <si>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</si>
  <si>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</si>
  <si>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</si>
  <si>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</si>
  <si>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</si>
  <si>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</si>
  <si>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</si>
  <si>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</si>
  <si>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</si>
  <si>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</si>
  <si>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</si>
  <si>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</si>
  <si>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</si>
  <si>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</si>
  <si>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</si>
  <si>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</si>
  <si>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</si>
  <si>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</si>
  <si>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</si>
  <si>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</si>
  <si>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</si>
  <si>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</si>
  <si>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</si>
  <si>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</si>
  <si>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</si>
  <si>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</si>
  <si>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</si>
  <si>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</si>
  <si>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</si>
  <si>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</si>
  <si>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</si>
  <si>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</si>
  <si>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</si>
  <si>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</si>
  <si>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</si>
  <si>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</si>
  <si>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</si>
  <si>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</si>
  <si>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</si>
  <si>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</si>
  <si>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</si>
  <si>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</si>
  <si>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</si>
  <si>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</si>
  <si>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</si>
  <si>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</si>
  <si>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</si>
  <si>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</si>
  <si>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</si>
  <si>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</si>
  <si>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</si>
  <si>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</si>
  <si>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</si>
  <si>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</si>
  <si>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</si>
  <si>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</si>
  <si>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</si>
  <si>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</si>
  <si>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</si>
  <si>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</si>
  <si>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</si>
  <si>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</si>
  <si>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</si>
  <si>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</si>
  <si>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</si>
  <si>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</si>
  <si>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</si>
  <si>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</si>
  <si>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</si>
  <si>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</si>
  <si>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</si>
  <si>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</si>
  <si>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</si>
  <si>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</si>
  <si>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</si>
  <si>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</si>
  <si>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</si>
  <si>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</si>
  <si>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</si>
  <si>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</si>
  <si>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</si>
  <si>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</si>
  <si>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</si>
  <si>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</si>
  <si>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</si>
  <si>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</si>
  <si>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</si>
  <si>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</si>
  <si>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</si>
  <si>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</si>
  <si>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</si>
  <si>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</si>
  <si>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</si>
  <si>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</si>
  <si>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</si>
  <si>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</si>
  <si>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</si>
  <si>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</si>
  <si>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</si>
  <si>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</si>
  <si>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</si>
  <si>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</si>
  <si>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</si>
  <si>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</si>
  <si>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</si>
  <si>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</si>
  <si>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</si>
  <si>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</si>
  <si>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</si>
  <si>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</si>
  <si>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</si>
  <si>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</si>
  <si>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</si>
  <si>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</si>
  <si>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</si>
  <si>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</si>
  <si>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</si>
  <si>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</si>
  <si>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</si>
  <si>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</si>
  <si>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</si>
  <si>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</si>
  <si>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</si>
  <si>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</si>
  <si>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</si>
  <si>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</si>
  <si>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</si>
  <si>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</si>
  <si>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</si>
  <si>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</si>
  <si>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</si>
  <si>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</si>
  <si>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</si>
  <si>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</si>
  <si>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</si>
  <si>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</si>
  <si>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</si>
  <si>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</si>
  <si>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</si>
  <si>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</si>
  <si>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</si>
  <si>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</si>
  <si>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</si>
  <si>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</si>
  <si>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</si>
  <si>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</si>
  <si>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</si>
  <si>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</si>
  <si>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</si>
  <si>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</si>
  <si>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</si>
  <si>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</si>
  <si>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</si>
  <si>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</si>
  <si>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</si>
  <si>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</si>
  <si>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</si>
  <si>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</si>
  <si>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</si>
  <si>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</si>
  <si>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</si>
  <si>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</si>
  <si>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</si>
  <si>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</si>
  <si>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</si>
  <si>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</si>
  <si>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</si>
  <si>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</si>
  <si>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</si>
  <si>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</si>
  <si>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</si>
  <si>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</si>
  <si>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</si>
  <si>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</si>
  <si>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</si>
  <si>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</si>
  <si>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</si>
  <si>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</si>
  <si>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</si>
  <si>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</si>
  <si>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</si>
  <si>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</si>
  <si>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</si>
  <si>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</si>
  <si>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</si>
  <si>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</si>
  <si>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</si>
  <si>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</si>
  <si>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</si>
  <si>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</si>
  <si>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</si>
  <si>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</si>
  <si>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</si>
  <si>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</si>
  <si>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</si>
  <si>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</si>
  <si>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</si>
  <si>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</si>
  <si>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</si>
  <si>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</si>
  <si>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</si>
  <si>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</si>
  <si>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</si>
  <si>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</si>
  <si>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</si>
  <si>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</si>
  <si>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</si>
  <si>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</si>
  <si>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</si>
  <si>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</si>
  <si>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</si>
  <si>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</si>
  <si>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</si>
  <si>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</si>
  <si>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</si>
  <si>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</si>
  <si>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</si>
  <si>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</si>
  <si>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</si>
  <si>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</si>
  <si>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</si>
  <si>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</si>
  <si>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</si>
  <si>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</si>
  <si>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</si>
  <si>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</si>
  <si>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</si>
  <si>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</si>
  <si>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</si>
  <si>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</si>
  <si>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</si>
  <si>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</si>
  <si>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</si>
  <si>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</si>
  <si>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</si>
  <si>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</si>
  <si>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</si>
  <si>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</si>
  <si>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</si>
  <si>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</si>
  <si>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</si>
  <si>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</si>
  <si>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</si>
  <si>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</si>
  <si>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</si>
  <si>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</si>
  <si>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</si>
  <si>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</si>
  <si>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</si>
  <si>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</si>
  <si>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</si>
  <si>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</si>
  <si>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</si>
  <si>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</si>
  <si>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</si>
  <si>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</si>
  <si>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</si>
  <si>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</si>
  <si>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</si>
  <si>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</si>
  <si>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</si>
  <si>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</si>
  <si>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</si>
  <si>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</si>
  <si>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</si>
  <si>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</si>
  <si>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</si>
  <si>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</si>
  <si>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</si>
  <si>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</si>
  <si>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</si>
  <si>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</si>
  <si>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</si>
  <si>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</si>
  <si>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</si>
  <si>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</si>
  <si>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</si>
  <si>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</si>
  <si>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</si>
  <si>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</si>
  <si>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</si>
  <si>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</si>
  <si>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</si>
  <si>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</si>
  <si>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</si>
  <si>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</si>
  <si>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</si>
  <si>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</si>
  <si>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</si>
  <si>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</si>
  <si>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</si>
  <si>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</si>
  <si>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</si>
  <si>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</si>
  <si>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</si>
  <si>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</si>
  <si>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</si>
  <si>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</si>
  <si>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</si>
  <si>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</si>
  <si>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</si>
  <si>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</si>
  <si>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</si>
  <si>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</si>
  <si>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</si>
  <si>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</si>
  <si>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</si>
  <si>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</si>
  <si>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</si>
  <si>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</si>
  <si>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</si>
  <si>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</si>
  <si>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</si>
  <si>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</si>
  <si>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</si>
  <si>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</si>
  <si>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</si>
  <si>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</si>
  <si>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</si>
  <si>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</si>
  <si>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</si>
  <si>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</si>
  <si>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</si>
  <si>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</si>
  <si>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</si>
  <si>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</si>
  <si>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</si>
  <si>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</si>
  <si>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</si>
  <si>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</si>
  <si>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</si>
  <si>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</si>
  <si>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</si>
  <si>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</si>
  <si>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</si>
  <si>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</si>
  <si>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</si>
  <si>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</si>
  <si>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</si>
  <si>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</si>
  <si>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</si>
  <si>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</si>
  <si>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</si>
  <si>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</si>
  <si>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</si>
  <si>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</si>
  <si>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</si>
  <si>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</si>
  <si>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</si>
  <si>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</si>
  <si>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</si>
  <si>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</si>
  <si>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</si>
  <si>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</si>
  <si>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</si>
  <si>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</si>
  <si>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</si>
  <si>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</si>
  <si>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</si>
  <si>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</si>
  <si>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</si>
  <si>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</si>
  <si>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</si>
  <si>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</si>
  <si>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</si>
  <si>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</si>
  <si>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</si>
  <si>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</si>
  <si>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</si>
  <si>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</si>
  <si>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</si>
  <si>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</si>
  <si>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</si>
  <si>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</si>
  <si>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</si>
  <si>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</si>
  <si>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</si>
  <si>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</si>
  <si>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</si>
  <si>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</si>
  <si>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</si>
  <si>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</si>
  <si>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</si>
  <si>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</si>
  <si>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</si>
  <si>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</si>
  <si>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</si>
  <si>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</si>
  <si>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</si>
  <si>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</si>
  <si>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</si>
  <si>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</si>
  <si>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</si>
  <si>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50038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</si>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</sst>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190</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7644</v>
      </c>
      <c r="K5" s="219">
        <f>SUM('Pt 2 Premium and Claims'!K$5,'Pt 2 Premium and Claims'!K$6,-'Pt 2 Premium and Claims'!K$7,-'Pt 2 Premium and Claims'!K$13,'Pt 2 Premium and Claims'!K$14,'Pt 2 Premium and Claims'!K$16:'Pt 2 Premium and Claims'!K$17)</f>
        <v>7644</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10752</v>
      </c>
      <c r="Q5" s="219">
        <f>SUM('Pt 2 Premium and Claims'!Q$5,'Pt 2 Premium and Claims'!Q$6,-'Pt 2 Premium and Claims'!Q$7,-'Pt 2 Premium and Claims'!Q$13,'Pt 2 Premium and Claims'!Q$14)</f>
        <v>-965</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-5017</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10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-32008</v>
      </c>
      <c r="K12" s="219">
        <f>'Pt 2 Premium and Claims'!K$54</f>
        <v>-14383</v>
      </c>
      <c r="L12" s="219">
        <f>'Pt 2 Premium and Claims'!L$54</f>
        <v>0</v>
      </c>
      <c r="M12" s="219">
        <f>'Pt 2 Premium and Claims'!M$54</f>
        <v>0</v>
      </c>
      <c r="N12" s="219">
        <f>'Pt 2 Premium and Claims'!N$54</f>
        <v>0</v>
      </c>
      <c r="O12" s="218">
        <f>'Pt 2 Premium and Claims'!O$54</f>
        <v>0</v>
      </c>
      <c r="P12" s="218">
        <f>'Pt 2 Premium and Claims'!P$54</f>
        <v>-6121</v>
      </c>
      <c r="Q12" s="219">
        <f>'Pt 2 Premium and Claims'!Q$54</f>
        <v>325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-9</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-75183</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8</v>
      </c>
      <c r="L14" s="223"/>
      <c r="M14" s="273"/>
      <c r="N14" s="276"/>
      <c r="O14" s="222"/>
      <c r="P14" s="222">
        <v>0</v>
      </c>
      <c r="Q14" s="223">
        <v>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-53</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55</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-24</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21754</v>
      </c>
      <c r="K25" s="223">
        <v>21754</v>
      </c>
      <c r="L25" s="223"/>
      <c r="M25" s="223"/>
      <c r="N25" s="223"/>
      <c r="O25" s="222"/>
      <c r="P25" s="222">
        <v>15209</v>
      </c>
      <c r="Q25" s="223">
        <v>15209</v>
      </c>
      <c r="R25" s="223"/>
      <c r="S25" s="223"/>
      <c r="T25" s="223"/>
      <c r="U25" s="222">
        <v>0</v>
      </c>
      <c r="V25" s="223">
        <v>0</v>
      </c>
      <c r="W25" s="223"/>
      <c r="X25" s="222">
        <v>0</v>
      </c>
      <c r="Y25" s="223">
        <v>0</v>
      </c>
      <c r="Z25" s="223"/>
      <c r="AA25" s="222">
        <v>4</v>
      </c>
      <c r="AB25" s="223">
        <v>4</v>
      </c>
      <c r="AC25" s="223"/>
      <c r="AD25" s="222"/>
      <c r="AE25" s="276"/>
      <c r="AF25" s="276"/>
      <c r="AG25" s="276"/>
      <c r="AH25" s="279"/>
      <c r="AI25" s="222"/>
      <c r="AJ25" s="276"/>
      <c r="AK25" s="276"/>
      <c r="AL25" s="276"/>
      <c r="AM25" s="279"/>
      <c r="AN25" s="222"/>
      <c r="AO25" s="223"/>
      <c r="AP25" s="223"/>
      <c r="AQ25" s="223"/>
      <c r="AR25" s="223"/>
      <c r="AS25" s="222">
        <v>0</v>
      </c>
      <c r="AT25" s="226">
        <v>41307</v>
      </c>
      <c r="AU25" s="226">
        <v>0</v>
      </c>
      <c r="AV25" s="226">
        <v>-94918</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51</v>
      </c>
      <c r="Q26" s="223">
        <v>51</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237</v>
      </c>
      <c r="K27" s="223">
        <v>237</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24</v>
      </c>
      <c r="K28" s="223">
        <v>24</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-330</v>
      </c>
      <c r="AU28" s="226">
        <v>0</v>
      </c>
      <c r="AV28" s="226">
        <v>13156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64</v>
      </c>
      <c r="K30" s="223">
        <v>64</v>
      </c>
      <c r="L30" s="223"/>
      <c r="M30" s="223"/>
      <c r="N30" s="223"/>
      <c r="O30" s="222"/>
      <c r="P30" s="222">
        <v>89</v>
      </c>
      <c r="Q30" s="223">
        <v>89</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-48</v>
      </c>
      <c r="AU30" s="226">
        <v>0</v>
      </c>
      <c r="AV30" s="226">
        <v>210</v>
      </c>
      <c r="AW30" s="303"/>
    </row>
    <row r="31" spans="1:49" x14ac:dyDescent="0.2">
      <c r="B31" s="248" t="s">
        <v>247</v>
      </c>
      <c r="C31" s="209"/>
      <c r="D31" s="222">
        <v>0</v>
      </c>
      <c r="E31" s="223">
        <v>0</v>
      </c>
      <c r="F31" s="223"/>
      <c r="G31" s="223"/>
      <c r="H31" s="223"/>
      <c r="I31" s="222">
        <v>0</v>
      </c>
      <c r="J31" s="222">
        <v>54</v>
      </c>
      <c r="K31" s="223">
        <v>54</v>
      </c>
      <c r="L31" s="223"/>
      <c r="M31" s="223"/>
      <c r="N31" s="223"/>
      <c r="O31" s="222"/>
      <c r="P31" s="222">
        <v>76</v>
      </c>
      <c r="Q31" s="223">
        <v>76</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-35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-18</v>
      </c>
      <c r="K35" s="223">
        <v>-18</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-16</v>
      </c>
      <c r="AU35" s="226">
        <v>0</v>
      </c>
      <c r="AV35" s="226">
        <v>-93</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7</v>
      </c>
      <c r="K37" s="231">
        <v>7</v>
      </c>
      <c r="L37" s="231"/>
      <c r="M37" s="231"/>
      <c r="N37" s="231"/>
      <c r="O37" s="230"/>
      <c r="P37" s="230">
        <v>-32</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-5</v>
      </c>
      <c r="AU37" s="232">
        <v>0</v>
      </c>
      <c r="AV37" s="232">
        <v>96</v>
      </c>
      <c r="AW37" s="302"/>
    </row>
    <row r="38" spans="1:49" x14ac:dyDescent="0.2">
      <c r="B38" s="245" t="s">
        <v>254</v>
      </c>
      <c r="C38" s="209" t="s">
        <v>16</v>
      </c>
      <c r="D38" s="222">
        <v>0</v>
      </c>
      <c r="E38" s="223">
        <v>0</v>
      </c>
      <c r="F38" s="223"/>
      <c r="G38" s="223"/>
      <c r="H38" s="223"/>
      <c r="I38" s="222">
        <v>0</v>
      </c>
      <c r="J38" s="222">
        <v>1</v>
      </c>
      <c r="K38" s="223">
        <v>1</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4</v>
      </c>
      <c r="AW38" s="303"/>
    </row>
    <row r="39" spans="1:49" x14ac:dyDescent="0.2">
      <c r="B39" s="248" t="s">
        <v>255</v>
      </c>
      <c r="C39" s="209" t="s">
        <v>17</v>
      </c>
      <c r="D39" s="222">
        <v>0</v>
      </c>
      <c r="E39" s="223">
        <v>0</v>
      </c>
      <c r="F39" s="223"/>
      <c r="G39" s="223"/>
      <c r="H39" s="223"/>
      <c r="I39" s="222">
        <v>0</v>
      </c>
      <c r="J39" s="222">
        <v>1</v>
      </c>
      <c r="K39" s="223">
        <v>1</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-10</v>
      </c>
      <c r="AU39" s="226">
        <v>0</v>
      </c>
      <c r="AV39" s="226">
        <v>172</v>
      </c>
      <c r="AW39" s="303"/>
    </row>
    <row r="40" spans="1:49" x14ac:dyDescent="0.2">
      <c r="B40" s="248" t="s">
        <v>256</v>
      </c>
      <c r="C40" s="209" t="s">
        <v>38</v>
      </c>
      <c r="D40" s="222">
        <v>0</v>
      </c>
      <c r="E40" s="223">
        <v>0</v>
      </c>
      <c r="F40" s="223"/>
      <c r="G40" s="223"/>
      <c r="H40" s="223"/>
      <c r="I40" s="222">
        <v>0</v>
      </c>
      <c r="J40" s="222">
        <v>5</v>
      </c>
      <c r="K40" s="223">
        <v>5</v>
      </c>
      <c r="L40" s="223"/>
      <c r="M40" s="223"/>
      <c r="N40" s="223"/>
      <c r="O40" s="222"/>
      <c r="P40" s="222">
        <v>-4</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-9</v>
      </c>
      <c r="AU40" s="226">
        <v>0</v>
      </c>
      <c r="AV40" s="226">
        <v>152</v>
      </c>
      <c r="AW40" s="303"/>
    </row>
    <row r="41" spans="1:49" s="11" customFormat="1" ht="25.5" x14ac:dyDescent="0.2">
      <c r="A41" s="41"/>
      <c r="B41" s="248" t="s">
        <v>257</v>
      </c>
      <c r="C41" s="209" t="s">
        <v>129</v>
      </c>
      <c r="D41" s="222">
        <v>0</v>
      </c>
      <c r="E41" s="223">
        <v>0</v>
      </c>
      <c r="F41" s="223"/>
      <c r="G41" s="223"/>
      <c r="H41" s="223"/>
      <c r="I41" s="222">
        <v>0</v>
      </c>
      <c r="J41" s="222">
        <v>5</v>
      </c>
      <c r="K41" s="223">
        <v>5</v>
      </c>
      <c r="L41" s="223"/>
      <c r="M41" s="223"/>
      <c r="N41" s="223"/>
      <c r="O41" s="222"/>
      <c r="P41" s="222">
        <v>-1</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-37</v>
      </c>
      <c r="AU41" s="226">
        <v>0</v>
      </c>
      <c r="AV41" s="226">
        <v>1899</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103</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-4</v>
      </c>
      <c r="K44" s="231">
        <v>-4</v>
      </c>
      <c r="L44" s="231"/>
      <c r="M44" s="231"/>
      <c r="N44" s="231"/>
      <c r="O44" s="230"/>
      <c r="P44" s="230">
        <v>-120</v>
      </c>
      <c r="Q44" s="231">
        <v>7</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-568</v>
      </c>
      <c r="AU44" s="232">
        <v>0</v>
      </c>
      <c r="AV44" s="232">
        <v>43267</v>
      </c>
      <c r="AW44" s="302"/>
    </row>
    <row r="45" spans="1:49" x14ac:dyDescent="0.2">
      <c r="B45" s="251" t="s">
        <v>261</v>
      </c>
      <c r="C45" s="209" t="s">
        <v>19</v>
      </c>
      <c r="D45" s="222">
        <v>0</v>
      </c>
      <c r="E45" s="223">
        <v>0</v>
      </c>
      <c r="F45" s="223"/>
      <c r="G45" s="223"/>
      <c r="H45" s="223"/>
      <c r="I45" s="222">
        <v>0</v>
      </c>
      <c r="J45" s="222">
        <v>-41</v>
      </c>
      <c r="K45" s="223">
        <v>-41</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339</v>
      </c>
      <c r="AU45" s="226">
        <v>0</v>
      </c>
      <c r="AV45" s="226">
        <v>1074</v>
      </c>
      <c r="AW45" s="303"/>
    </row>
    <row r="46" spans="1:49" x14ac:dyDescent="0.2">
      <c r="B46" s="251" t="s">
        <v>262</v>
      </c>
      <c r="C46" s="209" t="s">
        <v>20</v>
      </c>
      <c r="D46" s="222">
        <v>0</v>
      </c>
      <c r="E46" s="223">
        <v>0</v>
      </c>
      <c r="F46" s="223"/>
      <c r="G46" s="223"/>
      <c r="H46" s="223"/>
      <c r="I46" s="222">
        <v>0</v>
      </c>
      <c r="J46" s="222">
        <v>68</v>
      </c>
      <c r="K46" s="223">
        <v>68</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-1064</v>
      </c>
      <c r="AU46" s="226">
        <v>0</v>
      </c>
      <c r="AV46" s="226">
        <v>19013</v>
      </c>
      <c r="AW46" s="303"/>
    </row>
    <row r="47" spans="1:49" x14ac:dyDescent="0.2">
      <c r="B47" s="251" t="s">
        <v>263</v>
      </c>
      <c r="C47" s="209" t="s">
        <v>21</v>
      </c>
      <c r="D47" s="222">
        <v>0</v>
      </c>
      <c r="E47" s="223">
        <v>0</v>
      </c>
      <c r="F47" s="223"/>
      <c r="G47" s="223"/>
      <c r="H47" s="223"/>
      <c r="I47" s="222">
        <v>0</v>
      </c>
      <c r="J47" s="222">
        <v>104</v>
      </c>
      <c r="K47" s="223">
        <v>104</v>
      </c>
      <c r="L47" s="223"/>
      <c r="M47" s="223"/>
      <c r="N47" s="223"/>
      <c r="O47" s="222"/>
      <c r="P47" s="222">
        <v>146</v>
      </c>
      <c r="Q47" s="223">
        <v>146</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-68</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-8833</v>
      </c>
      <c r="K49" s="223">
        <v>-8833</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161</v>
      </c>
      <c r="AU49" s="226">
        <v>0</v>
      </c>
      <c r="AV49" s="226">
        <v>0</v>
      </c>
      <c r="AW49" s="303"/>
    </row>
    <row r="50" spans="2:49" ht="25.5" x14ac:dyDescent="0.2">
      <c r="B50" s="245" t="s">
        <v>265</v>
      </c>
      <c r="C50" s="209"/>
      <c r="D50" s="222">
        <v>0</v>
      </c>
      <c r="E50" s="223">
        <v>0</v>
      </c>
      <c r="F50" s="223"/>
      <c r="G50" s="223"/>
      <c r="H50" s="223"/>
      <c r="I50" s="222">
        <v>0</v>
      </c>
      <c r="J50" s="222">
        <v>190</v>
      </c>
      <c r="K50" s="223">
        <v>190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46</v>
      </c>
      <c r="AU50" s="226">
        <v>0</v>
      </c>
      <c r="AV50" s="226">
        <v>0</v>
      </c>
      <c r="AW50" s="303"/>
    </row>
    <row r="51" spans="2:49" x14ac:dyDescent="0.2">
      <c r="B51" s="245" t="s">
        <v>266</v>
      </c>
      <c r="C51" s="209"/>
      <c r="D51" s="222">
        <v>0</v>
      </c>
      <c r="E51" s="223">
        <v>0</v>
      </c>
      <c r="F51" s="223"/>
      <c r="G51" s="223"/>
      <c r="H51" s="223"/>
      <c r="I51" s="222">
        <v>0</v>
      </c>
      <c r="J51" s="222">
        <v>2898</v>
      </c>
      <c r="K51" s="223">
        <v>2898</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-13904</v>
      </c>
      <c r="AU51" s="226">
        <v>0</v>
      </c>
      <c r="AV51" s="226">
        <v>687770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v>
      </c>
      <c r="K53" s="223">
        <v>1</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196</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-11603</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3</v>
      </c>
      <c r="K56" s="235">
        <v>3</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326</v>
      </c>
      <c r="AW56" s="294"/>
    </row>
    <row r="57" spans="2:49" x14ac:dyDescent="0.2">
      <c r="B57" s="251" t="s">
        <v>272</v>
      </c>
      <c r="C57" s="209" t="s">
        <v>25</v>
      </c>
      <c r="D57" s="237">
        <v>0</v>
      </c>
      <c r="E57" s="238">
        <v>0</v>
      </c>
      <c r="F57" s="238"/>
      <c r="G57" s="238"/>
      <c r="H57" s="238"/>
      <c r="I57" s="237">
        <v>0</v>
      </c>
      <c r="J57" s="237">
        <v>4</v>
      </c>
      <c r="K57" s="238">
        <v>4</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540</v>
      </c>
      <c r="AW57" s="295"/>
    </row>
    <row r="58" spans="2:49" x14ac:dyDescent="0.2">
      <c r="B58" s="251" t="s">
        <v>273</v>
      </c>
      <c r="C58" s="209" t="s">
        <v>26</v>
      </c>
      <c r="D58" s="315"/>
      <c r="E58" s="316"/>
      <c r="F58" s="316"/>
      <c r="G58" s="316"/>
      <c r="H58" s="316"/>
      <c r="I58" s="315"/>
      <c r="J58" s="237">
        <v>1</v>
      </c>
      <c r="K58" s="238">
        <v>1</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3</v>
      </c>
      <c r="AW58" s="295"/>
    </row>
    <row r="59" spans="2:49" x14ac:dyDescent="0.2">
      <c r="B59" s="251" t="s">
        <v>274</v>
      </c>
      <c r="C59" s="209" t="s">
        <v>27</v>
      </c>
      <c r="D59" s="237">
        <v>0</v>
      </c>
      <c r="E59" s="238">
        <v>0</v>
      </c>
      <c r="F59" s="238"/>
      <c r="G59" s="238"/>
      <c r="H59" s="238"/>
      <c r="I59" s="237">
        <v>0</v>
      </c>
      <c r="J59" s="237">
        <v>52</v>
      </c>
      <c r="K59" s="238">
        <v>52</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6105</v>
      </c>
      <c r="AW59" s="295"/>
    </row>
    <row r="60" spans="2:49" x14ac:dyDescent="0.2">
      <c r="B60" s="251" t="s">
        <v>275</v>
      </c>
      <c r="C60" s="209"/>
      <c r="D60" s="240">
        <f>D$59/12</f>
        <v>0</v>
      </c>
      <c r="E60" s="241">
        <f>E$59/12</f>
        <v>0</v>
      </c>
      <c r="F60" s="241">
        <f>F$59/12</f>
        <v>0</v>
      </c>
      <c r="G60" s="241">
        <f>G$59/12</f>
        <v>0</v>
      </c>
      <c r="H60" s="241">
        <f>H$59/12</f>
        <v>0</v>
      </c>
      <c r="I60" s="240">
        <f>I$59/12</f>
        <v>0</v>
      </c>
      <c r="J60" s="240">
        <f>J$59/12</f>
        <v>4.333333333333333</v>
      </c>
      <c r="K60" s="241">
        <f>K$59/12</f>
        <v>4.333333333333333</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508.75</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-175447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-3319</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7634</v>
      </c>
      <c r="K5" s="332">
        <v>7634</v>
      </c>
      <c r="L5" s="332"/>
      <c r="M5" s="332"/>
      <c r="N5" s="332"/>
      <c r="O5" s="331"/>
      <c r="P5" s="331">
        <v>13370</v>
      </c>
      <c r="Q5" s="332">
        <v>-965</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-5414</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685</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2618</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-10</v>
      </c>
      <c r="K13" s="325">
        <v>-10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288</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-31605</v>
      </c>
      <c r="K23" s="368"/>
      <c r="L23" s="368"/>
      <c r="M23" s="368"/>
      <c r="N23" s="368"/>
      <c r="O23" s="370"/>
      <c r="P23" s="324">
        <v>11226</v>
      </c>
      <c r="Q23" s="368"/>
      <c r="R23" s="368"/>
      <c r="S23" s="368"/>
      <c r="T23" s="368"/>
      <c r="U23" s="324">
        <v>0</v>
      </c>
      <c r="V23" s="368"/>
      <c r="W23" s="368"/>
      <c r="X23" s="324">
        <v>0</v>
      </c>
      <c r="Y23" s="368"/>
      <c r="Z23" s="368"/>
      <c r="AA23" s="324">
        <v>-9</v>
      </c>
      <c r="AB23" s="368"/>
      <c r="AC23" s="368"/>
      <c r="AD23" s="324"/>
      <c r="AE23" s="368"/>
      <c r="AF23" s="368"/>
      <c r="AG23" s="368"/>
      <c r="AH23" s="368"/>
      <c r="AI23" s="324"/>
      <c r="AJ23" s="368"/>
      <c r="AK23" s="368"/>
      <c r="AL23" s="368"/>
      <c r="AM23" s="368"/>
      <c r="AN23" s="324"/>
      <c r="AO23" s="368"/>
      <c r="AP23" s="368"/>
      <c r="AQ23" s="368"/>
      <c r="AR23" s="368"/>
      <c r="AS23" s="324">
        <v>0</v>
      </c>
      <c r="AT23" s="327">
        <v>-3075</v>
      </c>
      <c r="AU23" s="327">
        <v>0</v>
      </c>
      <c r="AV23" s="374"/>
      <c r="AW23" s="380"/>
    </row>
    <row r="24" spans="2:49" ht="28.5" customHeight="1" x14ac:dyDescent="0.2">
      <c r="B24" s="351" t="s">
        <v>114</v>
      </c>
      <c r="C24" s="337"/>
      <c r="D24" s="371"/>
      <c r="E24" s="325">
        <v>0</v>
      </c>
      <c r="F24" s="325"/>
      <c r="G24" s="325"/>
      <c r="H24" s="325"/>
      <c r="I24" s="324">
        <v>0</v>
      </c>
      <c r="J24" s="371"/>
      <c r="K24" s="325">
        <v>-14434</v>
      </c>
      <c r="L24" s="325"/>
      <c r="M24" s="325"/>
      <c r="N24" s="325"/>
      <c r="O24" s="324"/>
      <c r="P24" s="371"/>
      <c r="Q24" s="325">
        <v>-221</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566</v>
      </c>
      <c r="K26" s="368"/>
      <c r="L26" s="368"/>
      <c r="M26" s="368"/>
      <c r="N26" s="368"/>
      <c r="O26" s="370"/>
      <c r="P26" s="324">
        <v>2000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30</v>
      </c>
      <c r="AU26" s="327">
        <v>0</v>
      </c>
      <c r="AV26" s="374"/>
      <c r="AW26" s="380"/>
    </row>
    <row r="27" spans="2:49" s="11" customFormat="1" ht="25.5" x14ac:dyDescent="0.2">
      <c r="B27" s="351" t="s">
        <v>85</v>
      </c>
      <c r="C27" s="337"/>
      <c r="D27" s="371"/>
      <c r="E27" s="325">
        <v>0</v>
      </c>
      <c r="F27" s="325"/>
      <c r="G27" s="325"/>
      <c r="H27" s="325"/>
      <c r="I27" s="324">
        <v>0</v>
      </c>
      <c r="J27" s="371"/>
      <c r="K27" s="325">
        <v>52</v>
      </c>
      <c r="L27" s="325"/>
      <c r="M27" s="325"/>
      <c r="N27" s="325"/>
      <c r="O27" s="324"/>
      <c r="P27" s="371"/>
      <c r="Q27" s="325">
        <v>618</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924</v>
      </c>
      <c r="K28" s="369"/>
      <c r="L28" s="369"/>
      <c r="M28" s="369"/>
      <c r="N28" s="369"/>
      <c r="O28" s="371"/>
      <c r="P28" s="324">
        <v>17438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55770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12</v>
      </c>
      <c r="K30" s="368"/>
      <c r="L30" s="368"/>
      <c r="M30" s="368"/>
      <c r="N30" s="368"/>
      <c r="O30" s="370"/>
      <c r="P30" s="324">
        <v>190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80864</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64</v>
      </c>
      <c r="K32" s="369"/>
      <c r="L32" s="369"/>
      <c r="M32" s="369"/>
      <c r="N32" s="369"/>
      <c r="O32" s="371"/>
      <c r="P32" s="324">
        <v>2033</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97232</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4</v>
      </c>
      <c r="K34" s="368"/>
      <c r="L34" s="368"/>
      <c r="M34" s="368"/>
      <c r="N34" s="368"/>
      <c r="O34" s="370"/>
      <c r="P34" s="324">
        <v>-8</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4</v>
      </c>
      <c r="L35" s="325"/>
      <c r="M35" s="325"/>
      <c r="N35" s="325"/>
      <c r="O35" s="324"/>
      <c r="P35" s="371"/>
      <c r="Q35" s="325">
        <v>-8</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5</v>
      </c>
      <c r="K36" s="325">
        <v>5</v>
      </c>
      <c r="L36" s="325"/>
      <c r="M36" s="325"/>
      <c r="N36" s="325"/>
      <c r="O36" s="324"/>
      <c r="P36" s="324">
        <v>64</v>
      </c>
      <c r="Q36" s="325">
        <v>64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8</v>
      </c>
      <c r="K50" s="369"/>
      <c r="L50" s="369"/>
      <c r="M50" s="369"/>
      <c r="N50" s="369"/>
      <c r="O50" s="371"/>
      <c r="P50" s="324">
        <v>6</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-32008</v>
      </c>
      <c r="K54" s="329">
        <f>K24+K27+K31+K35-K36+K39+K42+K45+K46-K49+K51+K52+K53</f>
        <v>-14383</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-6121</v>
      </c>
      <c r="Q54" s="329">
        <f>Q24+Q27+Q31+Q35-Q36+Q39+Q42+Q45+Q46-Q49+Q51+Q52+Q53</f>
        <v>325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-9</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-75183</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-10</v>
      </c>
      <c r="D6" s="404">
        <v>-424</v>
      </c>
      <c r="E6" s="406">
        <f>SUM('Pt 1 Summary of Data'!E$12,'Pt 1 Summary of Data'!E$22)+SUM('Pt 1 Summary of Data'!G$12,'Pt 1 Summary of Data'!G$22)-SUM('Pt 1 Summary of Data'!H$12,'Pt 1 Summary of Data'!H$22)</f>
        <v>0</v>
      </c>
      <c r="F6" s="406">
        <f>SUM(C6:E6)</f>
        <v>-434</v>
      </c>
      <c r="G6" s="407">
        <f>SUM('Pt 1 Summary of Data'!I$12,'Pt 1 Summary of Data'!I$22)</f>
        <v>0</v>
      </c>
      <c r="H6" s="403">
        <v>52613</v>
      </c>
      <c r="I6" s="404">
        <v>-38421</v>
      </c>
      <c r="J6" s="406">
        <f>SUM('Pt 1 Summary of Data'!K$12,'Pt 1 Summary of Data'!K$22)+SUM('Pt 1 Summary of Data'!M$12,'Pt 1 Summary of Data'!M$22)-SUM('Pt 1 Summary of Data'!N$12,'Pt 1 Summary of Data'!N$22)</f>
        <v>-14383</v>
      </c>
      <c r="K6" s="406">
        <f>SUM(H6:J6)</f>
        <v>-191</v>
      </c>
      <c r="L6" s="407">
        <f>SUM('Pt 1 Summary of Data'!O$12,'Pt 1 Summary of Data'!O$22)</f>
        <v>0</v>
      </c>
      <c r="M6" s="403">
        <v>3031972</v>
      </c>
      <c r="N6" s="404">
        <v>120904</v>
      </c>
      <c r="O6" s="406">
        <f>SUM('Pt 1 Summary of Data'!Q$12,'Pt 1 Summary of Data'!Q$22)+SUM('Pt 1 Summary of Data'!S$12,'Pt 1 Summary of Data'!S$22)-SUM('Pt 1 Summary of Data'!T$12,'Pt 1 Summary of Data'!T$22)</f>
        <v>325</v>
      </c>
      <c r="P6" s="406">
        <f>SUM(M6:O6)</f>
        <v>3153201</v>
      </c>
      <c r="Q6" s="403">
        <v>0</v>
      </c>
      <c r="R6" s="404">
        <v>0</v>
      </c>
      <c r="S6" s="406">
        <f>SUM('Pt 1 Summary of Data'!V$12,'Pt 1 Summary of Data'!V$22)</f>
        <v>0</v>
      </c>
      <c r="T6" s="406">
        <f>SUM(Q6:S6)</f>
        <v>0</v>
      </c>
      <c r="U6" s="403">
        <v>0</v>
      </c>
      <c r="V6" s="404">
        <v>0</v>
      </c>
      <c r="W6" s="406">
        <f>SUM('Pt 1 Summary of Data'!Y$12,'Pt 1 Summary of Data'!Y$22)</f>
        <v>0</v>
      </c>
      <c r="X6" s="406">
        <f>SUM(U6:W6)</f>
        <v>0</v>
      </c>
      <c r="Y6" s="403">
        <v>51772</v>
      </c>
      <c r="Z6" s="404">
        <v>0</v>
      </c>
      <c r="AA6" s="406">
        <f>SUM('Pt 1 Summary of Data'!AB$12,'Pt 1 Summary of Data'!AB$22)</f>
        <v>0</v>
      </c>
      <c r="AB6" s="406">
        <f>SUM(Y6:AA6)</f>
        <v>51772</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155</v>
      </c>
      <c r="I7" s="404">
        <v>30</v>
      </c>
      <c r="J7" s="406">
        <f>SUM('Pt 1 Summary of Data'!K$37:K$41)+SUM('Pt 1 Summary of Data'!M$37:M$41)-SUM('Pt 1 Summary of Data'!N$37:N$41)+MAX(0,MIN('Pt 1 Summary of Data'!K$42+'Pt 1 Summary of Data'!M$42-'Pt 1 Summary of Data'!N$42,0.3%*('Pt 1 Summary of Data'!K$5+'Pt 1 Summary of Data'!M$5-'Pt 1 Summary of Data'!N$5-SUM(J$10:J$11))))</f>
        <v>19</v>
      </c>
      <c r="K7" s="406">
        <f>SUM(H7:J7)</f>
        <v>204</v>
      </c>
      <c r="L7" s="407">
        <f>SUM('Pt 1 Summary of Data'!O$37:O$41)+MAX(0,MIN(VALUE('Pt 1 Summary of Data'!O$42),0.3%*('Pt 1 Summary of Data'!O$5-L$10)))</f>
        <v>0</v>
      </c>
      <c r="M7" s="403">
        <v>12901</v>
      </c>
      <c r="N7" s="404">
        <v>-2</v>
      </c>
      <c r="O7" s="406">
        <f>SUM('Pt 1 Summary of Data'!Q$37:Q$41)+SUM('Pt 1 Summary of Data'!S$37:S$41)-SUM('Pt 1 Summary of Data'!T$37:T$41)+MAX(0,MIN('Pt 1 Summary of Data'!Q$42+'Pt 1 Summary of Data'!S$42-'Pt 1 Summary of Data'!T$42,0.3%*('Pt 1 Summary of Data'!Q$5+'Pt 1 Summary of Data'!S$5-'Pt 1 Summary of Data'!T$5)))</f>
        <v>0</v>
      </c>
      <c r="P7" s="406">
        <f>SUM(M7:O7)</f>
        <v>12899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52758</v>
      </c>
      <c r="D12" s="406">
        <f>SUM(D$6:D$7) - SUM(D$8:D$11)+IF(AND(OR('Company Information'!$C$12="District of Columbia",'Company Information'!$C$12="Massachusetts",'Company Information'!$C$12="Vermont"),SUM($C$6:$F$11,$C$15:$F$16,$C$38:$D$38)&lt;&gt;0),SUM(I$6:I$7) - SUM(I$10:I$11),0)</f>
        <v>-38815</v>
      </c>
      <c r="E12" s="406">
        <f>SUM(E$6:E$7)-SUM(E$8:E$11)+IF(AND(OR('Company Information'!$C$12="District of Columbia",'Company Information'!$C$12="Massachusetts",'Company Information'!$C$12="Vermont"),SUM($C$6:$F$11,$C$15:$F$16,$C$38:$D$38)&lt;&gt;0),SUM(J$6:J$7)-SUM(J$10:J$11),0)</f>
        <v>-14364</v>
      </c>
      <c r="F12" s="406">
        <f>IFERROR(SUM(C$12:E$12)+C$17*MAX(0,E$50-C$50)+D$17*MAX(0,E$50-D$50),0)</f>
        <v>-421</v>
      </c>
      <c r="G12" s="453"/>
      <c r="H12" s="405">
        <f>SUM(H$6:H$7)+IF(AND(OR('Company Information'!$C$12="District of Columbia",'Company Information'!$C$12="Massachusetts",'Company Information'!$C$12="Vermont"),SUM($H$6:$K$11,$H$15:$K$16,$H$38:$I$38)&lt;&gt;0),SUM(C$6:C$7),0)</f>
        <v>52758</v>
      </c>
      <c r="I12" s="406">
        <f>SUM(I$6:I$7) - SUM(I$10:I$11)+IF(AND(OR('Company Information'!$C$12="District of Columbia",'Company Information'!$C$12="Massachusetts",'Company Information'!$C$12="Vermont"),SUM($H$6:$K$11,$H$15:$K$16,$H$38:$I$38)&lt;&gt;0),SUM(D$6:D$7) - SUM(D$8:D$11),0)</f>
        <v>-38815</v>
      </c>
      <c r="J12" s="406">
        <f>SUM(J$6:J$7)-SUM(J$10:J$11)+IF(AND(OR('Company Information'!$C$12="District of Columbia",'Company Information'!$C$12="Massachusetts",'Company Information'!$C$12="Vermont"),SUM($H$6:$K$11,$H$15:$K$16,$H$38:$I$38)&lt;&gt;0),SUM(E$6:E$7)-SUM(E$8:E$11),0)</f>
        <v>-14364</v>
      </c>
      <c r="K12" s="406">
        <f>IFERROR(SUM(H$12:J$12)+H$17*MAX(0,J$50-H$50)+I$17*MAX(0,J$50-I$50),0)</f>
        <v>-421</v>
      </c>
      <c r="L12" s="453"/>
      <c r="M12" s="405">
        <f>SUM(M$6:M$7)</f>
        <v>3044873</v>
      </c>
      <c r="N12" s="406">
        <f>SUM(N$6:N$7)</f>
        <v>120902</v>
      </c>
      <c r="O12" s="406">
        <f>SUM(O$6:O$7)</f>
        <v>325</v>
      </c>
      <c r="P12" s="406">
        <f>SUM(M$12:O$12)+M$17*MAX(0,O$50-M$50)+N$17*MAX(0,O$50-N$50)</f>
        <v>3166100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77658</v>
      </c>
      <c r="Z13" s="406">
        <f>1.25*SUM(Z$6:Z$7)</f>
        <v>0</v>
      </c>
      <c r="AA13" s="406">
        <f>SUM(AA$6:AA$7)</f>
        <v>0</v>
      </c>
      <c r="AB13" s="406">
        <f>SUM(AB$6:AB$7)+Y$17*MAX(0,AA$50-Y$50)+Z$17*MAX(0,AA$50-Z$50)</f>
        <v>51772</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87563</v>
      </c>
      <c r="I15" s="409">
        <v>11388</v>
      </c>
      <c r="J15" s="401">
        <f>SUM('Pt 1 Summary of Data'!K$5:K$7)+SUM('Pt 1 Summary of Data'!M$5:M$7)-SUM('Pt 1 Summary of Data'!N$5:N$7)-SUM(J$10:J$11)</f>
        <v>7644</v>
      </c>
      <c r="K15" s="401">
        <f>SUM(H15:J15)</f>
        <v>106595</v>
      </c>
      <c r="L15" s="402">
        <f>SUM('Pt 1 Summary of Data'!O$5:O$7)-L$10</f>
        <v>0</v>
      </c>
      <c r="M15" s="408">
        <v>3476098</v>
      </c>
      <c r="N15" s="409">
        <v>139598</v>
      </c>
      <c r="O15" s="401">
        <f>SUM('Pt 1 Summary of Data'!Q$5:Q$7)+SUM('Pt 1 Summary of Data'!S$5:S$7)-SUM('Pt 1 Summary of Data'!T$5:T$7)+N$56</f>
        <v>-965</v>
      </c>
      <c r="P15" s="401">
        <f>SUM(M15:O15)</f>
        <v>3614731</v>
      </c>
      <c r="Q15" s="408">
        <v>0</v>
      </c>
      <c r="R15" s="409">
        <v>0</v>
      </c>
      <c r="S15" s="401">
        <f>SUM('Pt 1 Summary of Data'!V$5:V$7)+R$56</f>
        <v>0</v>
      </c>
      <c r="T15" s="401">
        <f>SUM(Q15:S15)</f>
        <v>0</v>
      </c>
      <c r="U15" s="408">
        <v>0</v>
      </c>
      <c r="V15" s="409">
        <v>0</v>
      </c>
      <c r="W15" s="401">
        <f>SUM('Pt 1 Summary of Data'!Y$5:Y$7)+V$56</f>
        <v>0</v>
      </c>
      <c r="X15" s="401">
        <f>SUM(U15:W15)</f>
        <v>0</v>
      </c>
      <c r="Y15" s="408">
        <v>63891</v>
      </c>
      <c r="Z15" s="409">
        <v>0</v>
      </c>
      <c r="AA15" s="401">
        <f>SUM('Pt 1 Summary of Data'!AB$5:AB$7)+Z$56</f>
        <v>0</v>
      </c>
      <c r="AB15" s="401">
        <f>SUM(Y15:AA15)</f>
        <v>63891</v>
      </c>
      <c r="AC15" s="461"/>
      <c r="AD15" s="460"/>
      <c r="AE15" s="460"/>
      <c r="AF15" s="460"/>
      <c r="AG15" s="461"/>
      <c r="AH15" s="460"/>
      <c r="AI15" s="460"/>
      <c r="AJ15" s="460"/>
      <c r="AK15" s="408"/>
      <c r="AL15" s="409"/>
      <c r="AM15" s="401"/>
      <c r="AN15" s="437"/>
    </row>
    <row r="16" spans="1:40" x14ac:dyDescent="0.2">
      <c r="B16" s="421" t="s">
        <v>311</v>
      </c>
      <c r="C16" s="403">
        <v>206</v>
      </c>
      <c r="D16" s="404">
        <v>-78</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128</v>
      </c>
      <c r="G16" s="407">
        <f>SUM('Pt 1 Summary of Data'!I$25:I$28,'Pt 1 Summary of Data'!I$30,'Pt 1 Summary of Data'!I$34:I$35)+IF('Company Information'!$C$15="No",IF(MAX('Pt 1 Summary of Data'!I$31:I$32)=0,MIN('Pt 1 Summary of Data'!I$31:I$32),MAX('Pt 1 Summary of Data'!I$31:I$32)),SUM('Pt 1 Summary of Data'!I$31:I$32))</f>
        <v>0</v>
      </c>
      <c r="H16" s="403">
        <v>3577</v>
      </c>
      <c r="I16" s="404">
        <v>-12634</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22115</v>
      </c>
      <c r="K16" s="406">
        <f>SUM(H16:J16)</f>
        <v>13058</v>
      </c>
      <c r="L16" s="407">
        <f>SUM('Pt 1 Summary of Data'!O$25:O$28,'Pt 1 Summary of Data'!O$30,'Pt 1 Summary of Data'!O$34:O$35)+IF('Company Information'!$C$15="No",IF(MAX('Pt 1 Summary of Data'!O$31:O$32)=0,MIN('Pt 1 Summary of Data'!O$31:O$32),MAX('Pt 1 Summary of Data'!O$31:O$32)),SUM('Pt 1 Summary of Data'!O$31:O$32))</f>
        <v>0</v>
      </c>
      <c r="M16" s="403">
        <v>213483</v>
      </c>
      <c r="N16" s="404">
        <v>-22502</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15425</v>
      </c>
      <c r="P16" s="406">
        <f>SUM(M16:O16)</f>
        <v>206406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2541</v>
      </c>
      <c r="Z16" s="404">
        <v>71</v>
      </c>
      <c r="AA16" s="406">
        <f>SUM('Pt 1 Summary of Data'!AB$25:AB$28,'Pt 1 Summary of Data'!AB$30,'Pt 1 Summary of Data'!AB$34:AB$35)+IF('Company Information'!$C$15="No",IF(MAX('Pt 1 Summary of Data'!AB$31:AB$32)=0,MIN('Pt 1 Summary of Data'!AB$31:AB$32),MAX('Pt 1 Summary of Data'!AB$31:AB$32)),SUM('Pt 1 Summary of Data'!AB$31:AB$32))+Z$57</f>
        <v>4</v>
      </c>
      <c r="AB16" s="406">
        <f>SUM(Y16:AA16)</f>
        <v>2616</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83780</v>
      </c>
      <c r="D17" s="406">
        <f>D$15-D$16+IF(AND(OR('Company Information'!$C$12="District of Columbia",'Company Information'!$C$12="Massachusetts",'Company Information'!$C$12="Vermont"),SUM($C$6:$F$11,$C$15:$F$16,$C$38:$D$38)&lt;&gt;0),I$15-I$16,0)</f>
        <v>24100</v>
      </c>
      <c r="E17" s="406">
        <f>E$15-E$16+IF(AND(OR('Company Information'!$C$12="District of Columbia",'Company Information'!$C$12="Massachusetts",'Company Information'!$C$12="Vermont"),SUM($C$6:$F$11,$C$15:$F$16,$C$38:$D$38)&lt;&gt;0),J$15-J$16,0)</f>
        <v>-14471</v>
      </c>
      <c r="F17" s="406">
        <f>F$15-F$16+IF(AND(OR('Company Information'!$C$12="District of Columbia",'Company Information'!$C$12="Massachusetts",'Company Information'!$C$12="Vermont"),SUM($C$6:$F$11,$C$15:$F$16,$C$38:$D$38)&lt;&gt;0),K$15-K$16,0)</f>
        <v>93409</v>
      </c>
      <c r="G17" s="456"/>
      <c r="H17" s="405">
        <f>H$15-H$16+IF(AND(OR('Company Information'!$C$12="District of Columbia",'Company Information'!$C$12="Massachusetts",'Company Information'!$C$12="Vermont"),SUM($H$6:$K$11,$H$15:$K$16,$H$38:$I$38)&lt;&gt;0),C$15-C$16,0)</f>
        <v>83780</v>
      </c>
      <c r="I17" s="406">
        <f>I$15-I$16+IF(AND(OR('Company Information'!$C$12="District of Columbia",'Company Information'!$C$12="Massachusetts",'Company Information'!$C$12="Vermont"),SUM($H$6:$K$11,$H$15:$K$16,$H$38:$I$38)&lt;&gt;0),D$15-D$16,0)</f>
        <v>24100</v>
      </c>
      <c r="J17" s="406">
        <f>J$15-J$16+IF(AND(OR('Company Information'!$C$12="District of Columbia",'Company Information'!$C$12="Massachusetts",'Company Information'!$C$12="Vermont"),SUM($H$6:$K$11,$H$15:$K$16,$H$38:$I$38)&lt;&gt;0),E$15-E$16,0)</f>
        <v>-14471</v>
      </c>
      <c r="K17" s="406">
        <f>K$15-K$16+IF(AND(OR('Company Information'!$C$12="District of Columbia",'Company Information'!$C$12="Massachusetts",'Company Information'!$C$12="Vermont"),SUM($H$6:$K$11,$H$15:$K$16,$H$38:$I$38)&lt;&gt;0),F$15-F$16,0)</f>
        <v>93409</v>
      </c>
      <c r="L17" s="456"/>
      <c r="M17" s="405">
        <f>M$15-M$16</f>
        <v>3262615</v>
      </c>
      <c r="N17" s="406">
        <f>N$15-N$16</f>
        <v>162100</v>
      </c>
      <c r="O17" s="406">
        <f>O$15-O$16</f>
        <v>-16390</v>
      </c>
      <c r="P17" s="406">
        <f>P$15-P$16</f>
        <v>3408325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61350</v>
      </c>
      <c r="Z17" s="406">
        <f>Z$15-Z$16</f>
        <v>-71</v>
      </c>
      <c r="AA17" s="406">
        <f>AA$15-AA$16</f>
        <v>-4</v>
      </c>
      <c r="AB17" s="406">
        <f>AB$15-AB$16</f>
        <v>61275</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4.333333333333333</v>
      </c>
      <c r="F38" s="438">
        <f>SUM(C$38:E$38)+IF(AND(OR('Company Information'!$C$12="District of Columbia",'Company Information'!$C$12="Massachusetts",'Company Information'!$C$12="Vermont"),SUM($C$6:$F$11,$C$15:$F$16,$C$38:$D$38)&lt;&gt;0,SUM(C$38:D$38)&lt;&gt;SUM(H$38:I$38)),SUM(H$38:I$38),0)</f>
        <v>18.083333333333332</v>
      </c>
      <c r="G38" s="454"/>
      <c r="H38" s="410">
        <v>8</v>
      </c>
      <c r="I38" s="411">
        <v>5.75</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4.333333333333333</v>
      </c>
      <c r="K38" s="438">
        <f>SUM(H$38:J$38)+IF(AND(OR('Company Information'!$C$12="District of Columbia",'Company Information'!$C$12="Massachusetts",'Company Information'!$C$12="Vermont"),SUM($H$6:$K$11,$H$15:$K$16,$H$38:$I$38)&lt;&gt;0,SUM(H$38:I$38)&lt;&gt;SUM(C$38:D$38)),SUM(C$38:D$38),0)</f>
        <v>18.083333333333332</v>
      </c>
      <c r="L38" s="454"/>
      <c r="M38" s="410">
        <v>602.63170000000002</v>
      </c>
      <c r="N38" s="411">
        <v>0</v>
      </c>
      <c r="O38" s="438">
        <f>('Pt 1 Summary of Data'!Q$59+'Pt 1 Summary of Data'!S$59-'Pt 1 Summary of Data'!T$59)/12</f>
        <v>0</v>
      </c>
      <c r="P38" s="438">
        <f>SUM(M$38:O$38)</f>
        <v>602.63170000000002</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63.5</v>
      </c>
      <c r="Z38" s="411">
        <v>0</v>
      </c>
      <c r="AA38" s="438">
        <f>'Pt 1 Summary of Data'!AB$59/12</f>
        <v>0</v>
      </c>
      <c r="AB38" s="438">
        <f>SUM(Y$38:AA$38)</f>
        <v>63.5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129</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53</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3</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2016-07-28T17:43:31Z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