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B38" i="10" s="1"/>
  <c r="AA16" i="10"/>
  <c r="AB16" i="10" s="1"/>
  <c r="Z46" i="10"/>
  <c r="Z17" i="10"/>
  <c r="Z13" i="10"/>
  <c r="Y17" i="10"/>
  <c r="Y13" i="10"/>
  <c r="X41" i="10"/>
  <c r="W16" i="10"/>
  <c r="X16" i="10" s="1"/>
  <c r="T41" i="10"/>
  <c r="S16" i="10"/>
  <c r="T16" i="10" s="1"/>
  <c r="P41" i="10"/>
  <c r="O38" i="10"/>
  <c r="O16" i="10"/>
  <c r="P16" i="10" s="1"/>
  <c r="N17" i="10"/>
  <c r="N45" i="10" s="1"/>
  <c r="N12" i="10"/>
  <c r="M45" i="10"/>
  <c r="M17" i="10"/>
  <c r="M12" i="10"/>
  <c r="L60" i="10"/>
  <c r="L58" i="10" s="1"/>
  <c r="L59" i="10"/>
  <c r="L36" i="10"/>
  <c r="L35" i="10"/>
  <c r="L16" i="10"/>
  <c r="L10" i="10"/>
  <c r="K41" i="10"/>
  <c r="K11" i="10"/>
  <c r="J16" i="10"/>
  <c r="K16" i="10" s="1"/>
  <c r="J11" i="10"/>
  <c r="J10" i="10"/>
  <c r="K10" i="10" s="1"/>
  <c r="G60" i="10"/>
  <c r="G58" i="10" s="1"/>
  <c r="G59" i="10"/>
  <c r="G36" i="10"/>
  <c r="G35" i="10"/>
  <c r="G16" i="10"/>
  <c r="G10" i="10"/>
  <c r="G9" i="10"/>
  <c r="G8" i="10"/>
  <c r="F41" i="10"/>
  <c r="F16" i="10"/>
  <c r="F9" i="10"/>
  <c r="E16" i="10"/>
  <c r="E11" i="10"/>
  <c r="F11" i="10" s="1"/>
  <c r="E10" i="10"/>
  <c r="F10" i="10" s="1"/>
  <c r="E9" i="10"/>
  <c r="E8" i="10"/>
  <c r="F8" i="10" s="1"/>
  <c r="AU55" i="18"/>
  <c r="AU54" i="18"/>
  <c r="AT55" i="18"/>
  <c r="AT22" i="4" s="1"/>
  <c r="AT54" i="18"/>
  <c r="AS55" i="18"/>
  <c r="AS54" i="18"/>
  <c r="AS12" i="4" s="1"/>
  <c r="AC55" i="18"/>
  <c r="AC22" i="4" s="1"/>
  <c r="AC54" i="18"/>
  <c r="AB55" i="18"/>
  <c r="AB54" i="18"/>
  <c r="AB12" i="4" s="1"/>
  <c r="AA6" i="10" s="1"/>
  <c r="AA55" i="18"/>
  <c r="AA22" i="4" s="1"/>
  <c r="AA54" i="18"/>
  <c r="Z55" i="18"/>
  <c r="Z54" i="18"/>
  <c r="Z12" i="4" s="1"/>
  <c r="Y55" i="18"/>
  <c r="Y22" i="4" s="1"/>
  <c r="Y54" i="18"/>
  <c r="X55" i="18"/>
  <c r="X54" i="18"/>
  <c r="W55" i="18"/>
  <c r="W22" i="4" s="1"/>
  <c r="W54" i="18"/>
  <c r="V55" i="18"/>
  <c r="V54" i="18"/>
  <c r="V12" i="4" s="1"/>
  <c r="S6" i="10" s="1"/>
  <c r="U55" i="18"/>
  <c r="U22" i="4" s="1"/>
  <c r="U54" i="18"/>
  <c r="T55" i="18"/>
  <c r="T54" i="18"/>
  <c r="T12" i="4" s="1"/>
  <c r="S55" i="18"/>
  <c r="S22" i="4" s="1"/>
  <c r="S54" i="18"/>
  <c r="R55" i="18"/>
  <c r="R54" i="18"/>
  <c r="R12" i="4" s="1"/>
  <c r="Q55" i="18"/>
  <c r="Q22" i="4" s="1"/>
  <c r="Q54" i="18"/>
  <c r="P55" i="18"/>
  <c r="P54" i="18"/>
  <c r="P12" i="4" s="1"/>
  <c r="O55" i="18"/>
  <c r="O22" i="4" s="1"/>
  <c r="O54" i="18"/>
  <c r="N55" i="18"/>
  <c r="N54" i="18"/>
  <c r="N12" i="4" s="1"/>
  <c r="M55" i="18"/>
  <c r="M22" i="4" s="1"/>
  <c r="M54" i="18"/>
  <c r="L55" i="18"/>
  <c r="L54" i="18"/>
  <c r="L12" i="4" s="1"/>
  <c r="K55" i="18"/>
  <c r="K22" i="4" s="1"/>
  <c r="K54" i="18"/>
  <c r="J55" i="18"/>
  <c r="J54" i="18"/>
  <c r="J12" i="4" s="1"/>
  <c r="I55" i="18"/>
  <c r="I22" i="4" s="1"/>
  <c r="I54" i="18"/>
  <c r="H55" i="18"/>
  <c r="H54" i="18"/>
  <c r="H12" i="4" s="1"/>
  <c r="G55" i="18"/>
  <c r="G22" i="4" s="1"/>
  <c r="G54" i="18"/>
  <c r="F55" i="18"/>
  <c r="F54" i="18"/>
  <c r="F12" i="4" s="1"/>
  <c r="E55" i="18"/>
  <c r="E22" i="4" s="1"/>
  <c r="E54" i="18"/>
  <c r="D55" i="18"/>
  <c r="D54" i="18"/>
  <c r="D12" i="4" s="1"/>
  <c r="AV60" i="4"/>
  <c r="AU60" i="4"/>
  <c r="AU22" i="4"/>
  <c r="AU12" i="4"/>
  <c r="AU5" i="4"/>
  <c r="AT60" i="4"/>
  <c r="AT12" i="4"/>
  <c r="AT5" i="4"/>
  <c r="AS60" i="4"/>
  <c r="AS22" i="4"/>
  <c r="AS5" i="4"/>
  <c r="AC60" i="4"/>
  <c r="AC12" i="4"/>
  <c r="AC5" i="4"/>
  <c r="AB60" i="4"/>
  <c r="AB22" i="4"/>
  <c r="AB5" i="4"/>
  <c r="AA7" i="10" s="1"/>
  <c r="AB7" i="10" s="1"/>
  <c r="AA60" i="4"/>
  <c r="AA12" i="4"/>
  <c r="AA5" i="4"/>
  <c r="Z60" i="4"/>
  <c r="Z22" i="4"/>
  <c r="Z5" i="4"/>
  <c r="Y60" i="4"/>
  <c r="Y12" i="4"/>
  <c r="W6" i="10" s="1"/>
  <c r="Y5" i="4"/>
  <c r="W15" i="10" s="1"/>
  <c r="X15" i="10" s="1"/>
  <c r="X60" i="4"/>
  <c r="X22" i="4"/>
  <c r="X12" i="4"/>
  <c r="X5" i="4"/>
  <c r="W60" i="4"/>
  <c r="W12" i="4"/>
  <c r="W5" i="4"/>
  <c r="V60" i="4"/>
  <c r="V22" i="4"/>
  <c r="V5" i="4"/>
  <c r="U60" i="4"/>
  <c r="U12" i="4"/>
  <c r="U5" i="4"/>
  <c r="T60" i="4"/>
  <c r="T22" i="4"/>
  <c r="T5" i="4"/>
  <c r="S60" i="4"/>
  <c r="S12" i="4"/>
  <c r="S5" i="4"/>
  <c r="R60" i="4"/>
  <c r="R22" i="4"/>
  <c r="R5" i="4"/>
  <c r="Q60" i="4"/>
  <c r="Q12" i="4"/>
  <c r="Q5" i="4"/>
  <c r="P60" i="4"/>
  <c r="P22" i="4"/>
  <c r="P5" i="4"/>
  <c r="O60" i="4"/>
  <c r="O12" i="4"/>
  <c r="L6" i="10" s="1"/>
  <c r="O5" i="4"/>
  <c r="L7" i="10" s="1"/>
  <c r="N60" i="4"/>
  <c r="N22" i="4"/>
  <c r="N5" i="4"/>
  <c r="M60" i="4"/>
  <c r="M12" i="4"/>
  <c r="M5" i="4"/>
  <c r="L60" i="4"/>
  <c r="L22" i="4"/>
  <c r="L5" i="4"/>
  <c r="K60" i="4"/>
  <c r="K12" i="4"/>
  <c r="K5" i="4"/>
  <c r="J60" i="4"/>
  <c r="J22" i="4"/>
  <c r="J5" i="4"/>
  <c r="I60" i="4"/>
  <c r="I12" i="4"/>
  <c r="G6" i="10" s="1"/>
  <c r="I5" i="4"/>
  <c r="H60" i="4"/>
  <c r="H22" i="4"/>
  <c r="H5" i="4"/>
  <c r="G60" i="4"/>
  <c r="G12" i="4"/>
  <c r="G5" i="4"/>
  <c r="F60" i="4"/>
  <c r="F22" i="4"/>
  <c r="F5" i="4"/>
  <c r="E60" i="4"/>
  <c r="E12" i="4"/>
  <c r="E5" i="4"/>
  <c r="D60" i="4"/>
  <c r="D22" i="4"/>
  <c r="D5" i="4"/>
  <c r="E6" i="10" l="1"/>
  <c r="J7" i="10"/>
  <c r="K7" i="10" s="1"/>
  <c r="O6" i="10"/>
  <c r="X6" i="10"/>
  <c r="U17" i="10" s="1"/>
  <c r="V13" i="10"/>
  <c r="S7" i="10"/>
  <c r="T7" i="10" s="1"/>
  <c r="S15" i="10"/>
  <c r="T6" i="10"/>
  <c r="AB6" i="10"/>
  <c r="AB13" i="10" s="1"/>
  <c r="AA13" i="10"/>
  <c r="L15" i="10"/>
  <c r="E7" i="10"/>
  <c r="F7" i="10" s="1"/>
  <c r="AA15" i="10"/>
  <c r="E15" i="10"/>
  <c r="J15" i="10"/>
  <c r="L19" i="10"/>
  <c r="G15" i="10"/>
  <c r="G7" i="10"/>
  <c r="G20" i="10" s="1"/>
  <c r="J6" i="10"/>
  <c r="O15" i="10"/>
  <c r="O7" i="10"/>
  <c r="P7" i="10" s="1"/>
  <c r="P38" i="10"/>
  <c r="W7" i="10"/>
  <c r="X7" i="10" s="1"/>
  <c r="AB42" i="10"/>
  <c r="AB52" i="10"/>
  <c r="Y46" i="10"/>
  <c r="U46" i="10" l="1"/>
  <c r="T15" i="10"/>
  <c r="Q17" i="10" s="1"/>
  <c r="G32" i="10"/>
  <c r="G24" i="10"/>
  <c r="G23" i="10"/>
  <c r="G27" i="10"/>
  <c r="AA17" i="10"/>
  <c r="AA46" i="10" s="1"/>
  <c r="AB15" i="10"/>
  <c r="AB17" i="10" s="1"/>
  <c r="G19" i="10"/>
  <c r="G22" i="10" s="1"/>
  <c r="V17" i="10"/>
  <c r="V46" i="10" s="1"/>
  <c r="W38" i="10"/>
  <c r="E12" i="10"/>
  <c r="D17" i="10"/>
  <c r="D45" i="10" s="1"/>
  <c r="F6" i="10"/>
  <c r="E38" i="10" s="1"/>
  <c r="C17" i="10"/>
  <c r="P15" i="10"/>
  <c r="P17" i="10" s="1"/>
  <c r="P53" i="10" s="1"/>
  <c r="E11" i="16" s="1"/>
  <c r="O17" i="10"/>
  <c r="O45" i="10" s="1"/>
  <c r="P39" i="10"/>
  <c r="P52" i="10"/>
  <c r="P42" i="10"/>
  <c r="H17" i="10"/>
  <c r="J38" i="10"/>
  <c r="K6" i="10"/>
  <c r="J12" i="10" s="1"/>
  <c r="H12" i="10"/>
  <c r="I17" i="10"/>
  <c r="I45" i="10" s="1"/>
  <c r="K15" i="10"/>
  <c r="K17" i="10" s="1"/>
  <c r="J17" i="10"/>
  <c r="L27" i="10"/>
  <c r="L32" i="10"/>
  <c r="L24" i="10"/>
  <c r="L23" i="10"/>
  <c r="R13" i="10"/>
  <c r="W13" i="10"/>
  <c r="X17" i="10"/>
  <c r="P6" i="10"/>
  <c r="O12" i="10"/>
  <c r="P12" i="10" s="1"/>
  <c r="F15" i="10"/>
  <c r="F17" i="10" s="1"/>
  <c r="AB39" i="10"/>
  <c r="U13" i="10"/>
  <c r="W17" i="10"/>
  <c r="L20" i="10"/>
  <c r="L22" i="10" s="1"/>
  <c r="F38" i="10" l="1"/>
  <c r="T13" i="10"/>
  <c r="Q46" i="10"/>
  <c r="L21" i="10"/>
  <c r="L30" i="10"/>
  <c r="G21" i="10"/>
  <c r="G26" i="10" s="1"/>
  <c r="G25" i="10" s="1"/>
  <c r="G28" i="10" s="1"/>
  <c r="G30" i="10"/>
  <c r="G31" i="10" s="1"/>
  <c r="G29" i="10" s="1"/>
  <c r="G33" i="10" s="1"/>
  <c r="G34" i="10" s="1"/>
  <c r="J45" i="10"/>
  <c r="K38" i="10"/>
  <c r="W46" i="10"/>
  <c r="X38" i="10"/>
  <c r="S13" i="10"/>
  <c r="Q13" i="10"/>
  <c r="H45" i="10"/>
  <c r="X13" i="10"/>
  <c r="E17" i="10"/>
  <c r="E45" i="10" s="1"/>
  <c r="I12" i="10"/>
  <c r="K12" i="10" s="1"/>
  <c r="P45" i="10"/>
  <c r="C12" i="10"/>
  <c r="D12" i="10"/>
  <c r="F12" i="10" s="1"/>
  <c r="AB53" i="10"/>
  <c r="H11" i="16" s="1"/>
  <c r="AB46" i="10"/>
  <c r="L26" i="10"/>
  <c r="L25" i="10" s="1"/>
  <c r="L28" i="10" s="1"/>
  <c r="L31" i="10"/>
  <c r="L29" i="10" s="1"/>
  <c r="L33" i="10" s="1"/>
  <c r="L34" i="10" s="1"/>
  <c r="T17" i="10"/>
  <c r="R17" i="10"/>
  <c r="R46" i="10" s="1"/>
  <c r="C45" i="10"/>
  <c r="S17" i="10"/>
  <c r="S38" i="10"/>
  <c r="K53" i="10" l="1"/>
  <c r="D11" i="16" s="1"/>
  <c r="K39" i="10"/>
  <c r="K45" i="10"/>
  <c r="K42" i="10"/>
  <c r="K52" i="10"/>
  <c r="T38" i="10"/>
  <c r="S46" i="10"/>
  <c r="AB48" i="10"/>
  <c r="AB51" i="10" s="1"/>
  <c r="AB47" i="10"/>
  <c r="P47" i="10"/>
  <c r="P48" i="10"/>
  <c r="P51" i="10" s="1"/>
  <c r="X53" i="10"/>
  <c r="G11" i="16" s="1"/>
  <c r="X39" i="10"/>
  <c r="X52" i="10"/>
  <c r="X46" i="10"/>
  <c r="X42" i="10"/>
  <c r="F42" i="10"/>
  <c r="F52" i="10"/>
  <c r="F45" i="10"/>
  <c r="F53" i="10"/>
  <c r="C11" i="16" s="1"/>
  <c r="F39" i="10"/>
  <c r="F48" i="10" l="1"/>
  <c r="F51" i="10" s="1"/>
  <c r="F47" i="10"/>
  <c r="K47" i="10"/>
  <c r="K48" i="10"/>
  <c r="K51" i="10" s="1"/>
  <c r="T42" i="10"/>
  <c r="T52" i="10"/>
  <c r="T46" i="10"/>
  <c r="T53" i="10"/>
  <c r="F11" i="16" s="1"/>
  <c r="T39" i="10"/>
  <c r="X47" i="10"/>
  <c r="X48" i="10"/>
  <c r="X51" i="10" s="1"/>
  <c r="T47" i="10" l="1"/>
  <c r="T48" i="10"/>
  <c r="T51" i="10" s="1"/>
</calcChain>
</file>

<file path=xl/sharedStrings.xml><?xml version="1.0" encoding="utf-8"?>
<sst xmlns="http://schemas.openxmlformats.org/spreadsheetml/2006/main" count="572" uniqueCount="510">
  <si>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</si>
  <si>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</si>
  <si>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</si>
  <si>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</si>
  <si>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</si>
  <si>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</si>
  <si>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</si>
  <si>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</si>
  <si>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</si>
  <si>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</si>
  <si>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</si>
  <si>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</si>
  <si>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</si>
  <si>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</si>
  <si>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</si>
  <si>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</si>
  <si>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</si>
  <si>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</si>
  <si>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</si>
  <si>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</si>
  <si>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</si>
  <si>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</si>
  <si>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</si>
  <si>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</si>
  <si>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</si>
  <si>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</si>
  <si>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</si>
  <si>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</si>
  <si>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</si>
  <si>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</si>
  <si>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</si>
  <si>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</si>
  <si>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</si>
  <si>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</si>
  <si>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</si>
  <si>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</si>
  <si>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</si>
  <si>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</si>
  <si>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</si>
  <si>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</si>
  <si>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</si>
  <si>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</si>
  <si>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</si>
  <si>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</si>
  <si>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</si>
  <si>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</si>
  <si>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</si>
  <si>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</si>
  <si>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</si>
  <si>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</si>
  <si>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</si>
  <si>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</si>
  <si>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</si>
  <si>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</si>
  <si>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</si>
  <si>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</si>
  <si>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</si>
  <si>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</si>
  <si>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</si>
  <si>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</si>
  <si>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</si>
  <si>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</si>
  <si>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</si>
  <si>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</si>
  <si>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</si>
  <si>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</si>
  <si>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</si>
  <si>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</si>
  <si>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</si>
  <si>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</si>
  <si>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</si>
  <si>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</si>
  <si>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</si>
  <si>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</si>
  <si>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</si>
  <si>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</si>
  <si>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</si>
  <si>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</si>
  <si>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</si>
  <si>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</si>
  <si>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</si>
  <si>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</si>
  <si>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</si>
  <si>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</si>
  <si>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</si>
  <si>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</si>
  <si>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</si>
  <si>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</si>
  <si>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</si>
  <si>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</si>
  <si>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</si>
  <si>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</si>
  <si>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</si>
  <si>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</si>
  <si>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</si>
  <si>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</si>
  <si>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</si>
  <si>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</si>
  <si>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</si>
  <si>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</si>
  <si>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</si>
  <si>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</si>
  <si>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</si>
  <si>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</si>
  <si>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</si>
  <si>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</si>
  <si>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</si>
  <si>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</si>
  <si>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</si>
  <si>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</si>
  <si>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</si>
  <si>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</si>
  <si>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</si>
  <si>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</si>
  <si>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</si>
  <si>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</si>
  <si>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</si>
  <si>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</si>
  <si>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</si>
  <si>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</si>
  <si>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</si>
  <si>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</si>
  <si>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</si>
  <si>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</si>
  <si>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</si>
  <si>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</si>
  <si>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</si>
  <si>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</si>
  <si>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</si>
  <si>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</si>
  <si>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</si>
  <si>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</si>
  <si>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</si>
  <si>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</si>
  <si>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</si>
  <si>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</si>
  <si>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</si>
  <si>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</si>
  <si>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</si>
  <si>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</si>
  <si>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</si>
  <si>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</si>
  <si>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</si>
  <si>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</si>
  <si>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</si>
  <si>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</si>
  <si>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</si>
  <si>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</si>
  <si>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</si>
  <si>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</si>
  <si>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</si>
  <si>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</si>
  <si>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</si>
  <si>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</si>
  <si>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</si>
  <si>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</si>
  <si>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</si>
  <si>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</si>
  <si>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</si>
  <si>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</si>
  <si>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</si>
  <si>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</si>
  <si>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</si>
  <si>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</si>
  <si>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</si>
  <si>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</si>
  <si>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</si>
  <si>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</si>
  <si>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</si>
  <si>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</si>
  <si>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</si>
  <si>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</si>
  <si>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</si>
  <si>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</si>
  <si>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</si>
  <si>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</si>
  <si>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</si>
  <si>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</si>
  <si>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</si>
  <si>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</si>
  <si>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</si>
  <si>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</si>
  <si>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</si>
  <si>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</si>
  <si>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</si>
  <si>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</si>
  <si>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</si>
  <si>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</si>
  <si>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</si>
  <si>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</si>
  <si>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</si>
  <si>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</si>
  <si>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</si>
  <si>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</si>
  <si>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</si>
  <si>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</si>
  <si>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</si>
  <si>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</si>
  <si>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</si>
  <si>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</si>
  <si>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</si>
  <si>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</si>
  <si>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</si>
  <si>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</si>
  <si>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</si>
  <si>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</si>
  <si>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</si>
  <si>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</si>
  <si>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</si>
  <si>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</si>
  <si>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</si>
  <si>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</si>
  <si>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</si>
  <si>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</si>
  <si>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</si>
  <si>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</si>
  <si>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</si>
  <si>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</si>
  <si>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</si>
  <si>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</si>
  <si>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</si>
  <si>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</si>
  <si>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</si>
  <si>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</si>
  <si>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</si>
  <si>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</si>
  <si>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</si>
  <si>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</si>
  <si>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</si>
  <si>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</si>
  <si>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</si>
  <si>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</si>
  <si>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</si>
  <si>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</si>
  <si>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</si>
  <si>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</si>
  <si>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</si>
  <si>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</si>
  <si>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</si>
  <si>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</si>
  <si>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</si>
  <si>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</si>
  <si>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</si>
  <si>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</si>
  <si>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</si>
  <si>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</si>
  <si>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</si>
  <si>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</si>
  <si>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</si>
  <si>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</si>
  <si>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</si>
  <si>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</si>
  <si>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</si>
  <si>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</si>
  <si>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</si>
  <si>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</si>
  <si>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</si>
  <si>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</si>
  <si>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</si>
  <si>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</si>
  <si>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</si>
  <si>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</si>
  <si>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</si>
  <si>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</si>
  <si>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</si>
  <si>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</si>
  <si>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</si>
  <si>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</si>
  <si>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</si>
  <si>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</si>
  <si>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</si>
  <si>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</si>
  <si>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</si>
  <si>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</si>
  <si>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</si>
  <si>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</si>
  <si>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</si>
  <si>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</si>
  <si>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</si>
  <si>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</si>
  <si>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</si>
  <si>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</si>
  <si>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</si>
  <si>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</si>
  <si>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</si>
  <si>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</si>
  <si>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</si>
  <si>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</si>
  <si>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</si>
  <si>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</si>
  <si>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</si>
  <si>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</si>
  <si>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</si>
  <si>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</si>
  <si>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</si>
  <si>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</si>
  <si>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</si>
  <si>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</si>
  <si>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</si>
  <si>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</si>
  <si>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</si>
  <si>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</si>
  <si>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</si>
  <si>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</si>
  <si>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</si>
  <si>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</si>
  <si>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</si>
  <si>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</si>
  <si>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</si>
  <si>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</si>
  <si>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</si>
  <si>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</si>
  <si>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</si>
  <si>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</si>
  <si>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</si>
  <si>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</si>
  <si>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</si>
  <si>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</si>
  <si>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</si>
  <si>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</si>
  <si>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</si>
  <si>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</si>
  <si>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</si>
  <si>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</si>
  <si>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</si>
  <si>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</si>
  <si>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</si>
  <si>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</si>
  <si>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</si>
  <si>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</si>
  <si>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</si>
  <si>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</si>
  <si>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</si>
  <si>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</si>
  <si>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</si>
  <si>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</si>
  <si>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</si>
  <si>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</si>
  <si>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</si>
  <si>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</si>
  <si>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</si>
  <si>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</si>
  <si>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</si>
  <si>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</si>
  <si>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</si>
  <si>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</si>
  <si>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</si>
  <si>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</si>
  <si>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</si>
  <si>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</si>
  <si>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</si>
  <si>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</si>
  <si>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</si>
  <si>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</si>
  <si>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</si>
  <si>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</si>
  <si>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</si>
  <si>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</si>
  <si>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</si>
  <si>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</si>
  <si>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</si>
  <si>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</si>
  <si>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</si>
  <si>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</si>
  <si>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</si>
  <si>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</si>
  <si>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</si>
  <si>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</si>
  <si>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</si>
  <si>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</si>
  <si>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</si>
  <si>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</si>
  <si>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</si>
  <si>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</si>
  <si>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</si>
  <si>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</si>
  <si>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</si>
  <si>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</si>
  <si>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</si>
  <si>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</si>
  <si>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</si>
  <si>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</si>
  <si>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</si>
  <si>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</si>
  <si>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</si>
  <si>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</si>
  <si>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</si>
  <si>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</si>
  <si>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</si>
  <si>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</si>
  <si>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</si>
  <si>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</si>
  <si>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</si>
  <si>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</si>
  <si>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</si>
  <si>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</si>
  <si>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</si>
  <si>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</si>
  <si>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</si>
  <si>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</si>
  <si>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</si>
  <si>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</si>
  <si>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</si>
  <si>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</si>
  <si>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</si>
  <si>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</si>
  <si>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</si>
  <si>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</si>
  <si>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</si>
  <si>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</si>
  <si>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</si>
  <si>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</si>
  <si>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</si>
  <si>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</si>
  <si>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</si>
  <si>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</si>
  <si>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</si>
  <si>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</si>
  <si>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</si>
  <si>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</si>
  <si>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</si>
  <si>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</si>
  <si>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</si>
  <si>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</si>
  <si>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</si>
  <si>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</si>
  <si>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</si>
  <si>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</si>
  <si>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</si>
  <si>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</si>
  <si>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</si>
  <si>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</si>
  <si>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</si>
  <si>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</si>
  <si>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</si>
  <si>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</si>
  <si>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</si>
  <si>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</si>
  <si>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</si>
  <si>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</si>
  <si>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</si>
  <si>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</si>
  <si>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</si>
  <si>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</si>
  <si>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</si>
  <si>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</si>
  <si>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</si>
  <si>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</si>
  <si>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</si>
  <si>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</si>
  <si>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</si>
  <si>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</si>
  <si>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</si>
  <si>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</si>
  <si>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</si>
  <si>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</si>
  <si>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</si>
  <si>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</si>
  <si>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</si>
  <si>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</si>
  <si>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</si>
  <si>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</si>
  <si>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</si>
  <si>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</si>
  <si>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</si>
  <si>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</si>
  <si>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</si>
  <si>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</si>
  <si>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</si>
  <si>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</si>
  <si>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</si>
  <si>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</si>
  <si>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</si>
  <si>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</si>
  <si>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</si>
  <si>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</si>
  <si>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</si>
  <si>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</si>
  <si>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</si>
  <si>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</si>
  <si>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</si>
  <si>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</si>
  <si>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</si>
  <si>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</si>
  <si>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</si>
  <si>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</si>
  <si>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</si>
  <si>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</si>
  <si>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</si>
  <si>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</si>
  <si>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</si>
  <si>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</si>
  <si>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</si>
  <si>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</si>
  <si>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</si>
  <si>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</si>
  <si>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</si>
  <si>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</si>
  <si>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</si>
  <si>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</si>
  <si>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</si>
  <si>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</si>
  <si>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</si>
  <si>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</si>
  <si>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</si>
  <si>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85708</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</si>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</sst>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194</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0</v>
      </c>
      <c r="Q5" s="219">
        <f>SUM('Pt 2 Premium and Claims'!Q$5,'Pt 2 Premium and Claims'!Q$6,-'Pt 2 Premium and Claims'!Q$7,-'Pt 2 Premium and Claims'!Q$13,'Pt 2 Premium and Claims'!Q$14)</f>
        <v>0</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0</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0</v>
      </c>
      <c r="Q7" s="223">
        <v>0</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-4</v>
      </c>
      <c r="E12" s="219">
        <f>'Pt 2 Premium and Claims'!E$54</f>
        <v>-2</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0</v>
      </c>
      <c r="Q12" s="219">
        <f>'Pt 2 Premium and Claims'!Q$54</f>
        <v>0</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-32185</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0</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0</v>
      </c>
      <c r="Q14" s="223">
        <v>0</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29</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-8</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2</v>
      </c>
      <c r="E25" s="223">
        <v>2</v>
      </c>
      <c r="F25" s="223"/>
      <c r="G25" s="223"/>
      <c r="H25" s="223"/>
      <c r="I25" s="222">
        <v>0</v>
      </c>
      <c r="J25" s="222">
        <v>0</v>
      </c>
      <c r="K25" s="223">
        <v>0</v>
      </c>
      <c r="L25" s="223"/>
      <c r="M25" s="223"/>
      <c r="N25" s="223"/>
      <c r="O25" s="222"/>
      <c r="P25" s="222">
        <v>0</v>
      </c>
      <c r="Q25" s="223">
        <v>0</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15519</v>
      </c>
      <c r="AU25" s="226">
        <v>0</v>
      </c>
      <c r="AV25" s="226">
        <v>-46853</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0</v>
      </c>
      <c r="Q26" s="223">
        <v>0</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0</v>
      </c>
      <c r="AU28" s="226">
        <v>0</v>
      </c>
      <c r="AV28" s="226">
        <v>6881</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0</v>
      </c>
      <c r="Q30" s="223">
        <v>0</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0</v>
      </c>
      <c r="AU30" s="226">
        <v>0</v>
      </c>
      <c r="AV30" s="226">
        <v>110</v>
      </c>
      <c r="AW30" s="303"/>
    </row>
    <row r="31" spans="1:49" x14ac:dyDescent="0.2">
      <c r="B31" s="248" t="s">
        <v>247</v>
      </c>
      <c r="C31" s="209"/>
      <c r="D31" s="222">
        <v>0</v>
      </c>
      <c r="E31" s="223">
        <v>0</v>
      </c>
      <c r="F31" s="223"/>
      <c r="G31" s="223"/>
      <c r="H31" s="223"/>
      <c r="I31" s="222">
        <v>0</v>
      </c>
      <c r="J31" s="222">
        <v>0</v>
      </c>
      <c r="K31" s="223">
        <v>0</v>
      </c>
      <c r="L31" s="223"/>
      <c r="M31" s="223"/>
      <c r="N31" s="223"/>
      <c r="O31" s="222"/>
      <c r="P31" s="222">
        <v>0</v>
      </c>
      <c r="Q31" s="223">
        <v>0</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0</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0</v>
      </c>
      <c r="AU35" s="226">
        <v>0</v>
      </c>
      <c r="AV35" s="226">
        <v>-15</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0</v>
      </c>
      <c r="Q37" s="231">
        <v>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0</v>
      </c>
      <c r="AU37" s="232">
        <v>0</v>
      </c>
      <c r="AV37" s="232">
        <v>50</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0</v>
      </c>
      <c r="Q38" s="223">
        <v>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2</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0</v>
      </c>
      <c r="Q39" s="223">
        <v>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0</v>
      </c>
      <c r="AU39" s="226">
        <v>0</v>
      </c>
      <c r="AV39" s="226">
        <v>90</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0</v>
      </c>
      <c r="Q40" s="223">
        <v>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0</v>
      </c>
      <c r="AU40" s="226">
        <v>0</v>
      </c>
      <c r="AV40" s="226">
        <v>79</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0</v>
      </c>
      <c r="Q41" s="223">
        <v>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0</v>
      </c>
      <c r="AU41" s="226">
        <v>0</v>
      </c>
      <c r="AV41" s="226">
        <v>993</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54</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0</v>
      </c>
      <c r="Q44" s="231">
        <v>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-29</v>
      </c>
      <c r="AU44" s="232">
        <v>0</v>
      </c>
      <c r="AV44" s="232">
        <v>22629</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0</v>
      </c>
      <c r="Q45" s="223">
        <v>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0</v>
      </c>
      <c r="AU45" s="226">
        <v>0</v>
      </c>
      <c r="AV45" s="226">
        <v>562</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0</v>
      </c>
      <c r="Q46" s="223">
        <v>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0</v>
      </c>
      <c r="AU46" s="226">
        <v>0</v>
      </c>
      <c r="AV46" s="226">
        <v>9944</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0</v>
      </c>
      <c r="Q47" s="223">
        <v>0</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211</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35</v>
      </c>
      <c r="AW50" s="303"/>
    </row>
    <row r="51" spans="2:49" x14ac:dyDescent="0.2">
      <c r="B51" s="245" t="s">
        <v>266</v>
      </c>
      <c r="C51" s="209"/>
      <c r="D51" s="222">
        <v>0</v>
      </c>
      <c r="E51" s="223">
        <v>0</v>
      </c>
      <c r="F51" s="223"/>
      <c r="G51" s="223"/>
      <c r="H51" s="223"/>
      <c r="I51" s="222">
        <v>0</v>
      </c>
      <c r="J51" s="222">
        <v>0</v>
      </c>
      <c r="K51" s="223">
        <v>0</v>
      </c>
      <c r="L51" s="223"/>
      <c r="M51" s="223"/>
      <c r="N51" s="223"/>
      <c r="O51" s="222"/>
      <c r="P51" s="222">
        <v>0</v>
      </c>
      <c r="Q51" s="223">
        <v>0</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0</v>
      </c>
      <c r="AU51" s="226">
        <v>0</v>
      </c>
      <c r="AV51" s="226">
        <v>359714</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103</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0</v>
      </c>
      <c r="AV56" s="236">
        <v>0</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0</v>
      </c>
      <c r="AU57" s="239">
        <v>0</v>
      </c>
      <c r="AV57" s="239">
        <v>0</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0</v>
      </c>
      <c r="AU58" s="239">
        <v>0</v>
      </c>
      <c r="AV58" s="239">
        <v>0</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0</v>
      </c>
      <c r="AU59" s="239">
        <v>0</v>
      </c>
      <c r="AV59" s="239">
        <v>3193</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0</v>
      </c>
      <c r="AU60" s="242">
        <f>AU$59/12</f>
        <v>0</v>
      </c>
      <c r="AV60" s="242">
        <f>AV$59/12</f>
        <v>266.08333333333331</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c r="G5" s="334"/>
      <c r="H5" s="334"/>
      <c r="I5" s="331">
        <v>0</v>
      </c>
      <c r="J5" s="331">
        <v>0</v>
      </c>
      <c r="K5" s="332">
        <v>0</v>
      </c>
      <c r="L5" s="332"/>
      <c r="M5" s="332"/>
      <c r="N5" s="332"/>
      <c r="O5" s="331"/>
      <c r="P5" s="331">
        <v>0</v>
      </c>
      <c r="Q5" s="332">
        <v>0</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-1</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0</v>
      </c>
      <c r="Q6" s="325">
        <v>0</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1</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0</v>
      </c>
      <c r="Q13" s="325">
        <v>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0</v>
      </c>
      <c r="K23" s="368"/>
      <c r="L23" s="368"/>
      <c r="M23" s="368"/>
      <c r="N23" s="368"/>
      <c r="O23" s="370"/>
      <c r="P23" s="324">
        <v>0</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-8025</v>
      </c>
      <c r="AU23" s="327">
        <v>0</v>
      </c>
      <c r="AV23" s="374"/>
      <c r="AW23" s="380"/>
    </row>
    <row r="24" spans="2:49" ht="28.5" customHeight="1" x14ac:dyDescent="0.2">
      <c r="B24" s="351" t="s">
        <v>114</v>
      </c>
      <c r="C24" s="337"/>
      <c r="D24" s="371"/>
      <c r="E24" s="325">
        <v>0</v>
      </c>
      <c r="F24" s="325"/>
      <c r="G24" s="325"/>
      <c r="H24" s="325"/>
      <c r="I24" s="324">
        <v>0</v>
      </c>
      <c r="J24" s="371"/>
      <c r="K24" s="325">
        <v>0</v>
      </c>
      <c r="L24" s="325"/>
      <c r="M24" s="325"/>
      <c r="N24" s="325"/>
      <c r="O24" s="324"/>
      <c r="P24" s="371"/>
      <c r="Q24" s="325">
        <v>0</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0</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0</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2</v>
      </c>
      <c r="E28" s="369"/>
      <c r="F28" s="369"/>
      <c r="G28" s="369"/>
      <c r="H28" s="369"/>
      <c r="I28" s="371"/>
      <c r="J28" s="324">
        <v>0</v>
      </c>
      <c r="K28" s="369"/>
      <c r="L28" s="369"/>
      <c r="M28" s="369"/>
      <c r="N28" s="369"/>
      <c r="O28" s="371"/>
      <c r="P28" s="324">
        <v>0</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36</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66625</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90749</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0</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2</v>
      </c>
      <c r="E36" s="325">
        <v>2</v>
      </c>
      <c r="F36" s="325"/>
      <c r="G36" s="325"/>
      <c r="H36" s="325"/>
      <c r="I36" s="324">
        <v>0</v>
      </c>
      <c r="J36" s="324">
        <v>0</v>
      </c>
      <c r="K36" s="325">
        <v>0</v>
      </c>
      <c r="L36" s="325"/>
      <c r="M36" s="325"/>
      <c r="N36" s="325"/>
      <c r="O36" s="324"/>
      <c r="P36" s="324">
        <v>0</v>
      </c>
      <c r="Q36" s="325">
        <v>0</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0</v>
      </c>
      <c r="Q45" s="325">
        <v>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0</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-4</v>
      </c>
      <c r="E54" s="329">
        <f>E24+E27+E31+E35-E36+E39+E42+E45+E46-E49+E51+E52+E53</f>
        <v>-2</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0</v>
      </c>
      <c r="Q54" s="329">
        <f>Q24+Q27+Q31+Q35-Q36+Q39+Q42+Q45+Q46-Q49+Q51+Q52+Q53</f>
        <v>0</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-32185</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0</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-2069</v>
      </c>
      <c r="D6" s="404">
        <v>-133</v>
      </c>
      <c r="E6" s="406">
        <f>SUM('Pt 1 Summary of Data'!E$12,'Pt 1 Summary of Data'!E$22)+SUM('Pt 1 Summary of Data'!G$12,'Pt 1 Summary of Data'!G$22)-SUM('Pt 1 Summary of Data'!H$12,'Pt 1 Summary of Data'!H$22)</f>
        <v>-2</v>
      </c>
      <c r="F6" s="406">
        <f>SUM(C6:E6)</f>
        <v>-2204</v>
      </c>
      <c r="G6" s="407">
        <f>SUM('Pt 1 Summary of Data'!I$12,'Pt 1 Summary of Data'!I$22)</f>
        <v>0</v>
      </c>
      <c r="H6" s="403">
        <v>0</v>
      </c>
      <c r="I6" s="404">
        <v>0</v>
      </c>
      <c r="J6" s="406">
        <f>SUM('Pt 1 Summary of Data'!K$12,'Pt 1 Summary of Data'!K$22)+SUM('Pt 1 Summary of Data'!M$12,'Pt 1 Summary of Data'!M$22)-SUM('Pt 1 Summary of Data'!N$12,'Pt 1 Summary of Data'!N$22)</f>
        <v>0</v>
      </c>
      <c r="K6" s="406">
        <f>SUM(H6:J6)</f>
        <v>0</v>
      </c>
      <c r="L6" s="407">
        <f>SUM('Pt 1 Summary of Data'!O$12,'Pt 1 Summary of Data'!O$22)</f>
        <v>0</v>
      </c>
      <c r="M6" s="403">
        <v>0</v>
      </c>
      <c r="N6" s="404">
        <v>-48</v>
      </c>
      <c r="O6" s="406">
        <f>SUM('Pt 1 Summary of Data'!Q$12,'Pt 1 Summary of Data'!Q$22)+SUM('Pt 1 Summary of Data'!S$12,'Pt 1 Summary of Data'!S$22)-SUM('Pt 1 Summary of Data'!T$12,'Pt 1 Summary of Data'!T$22)</f>
        <v>0</v>
      </c>
      <c r="P6" s="406">
        <f>SUM(M6:O6)</f>
        <v>-48</v>
      </c>
      <c r="Q6" s="403">
        <v>0</v>
      </c>
      <c r="R6" s="404">
        <v>0</v>
      </c>
      <c r="S6" s="406">
        <f>SUM('Pt 1 Summary of Data'!V$12,'Pt 1 Summary of Data'!V$22)</f>
        <v>0</v>
      </c>
      <c r="T6" s="406">
        <f>SUM(Q6:S6)</f>
        <v>0</v>
      </c>
      <c r="U6" s="403">
        <v>0</v>
      </c>
      <c r="V6" s="404">
        <v>0</v>
      </c>
      <c r="W6" s="406">
        <f>SUM('Pt 1 Summary of Data'!Y$12,'Pt 1 Summary of Data'!Y$22)</f>
        <v>0</v>
      </c>
      <c r="X6" s="406">
        <f>SUM(U6:W6)</f>
        <v>0</v>
      </c>
      <c r="Y6" s="403">
        <v>80</v>
      </c>
      <c r="Z6" s="404">
        <v>0</v>
      </c>
      <c r="AA6" s="406">
        <f>SUM('Pt 1 Summary of Data'!AB$12,'Pt 1 Summary of Data'!AB$22)</f>
        <v>0</v>
      </c>
      <c r="AB6" s="406">
        <f>SUM(Y6:AA6)</f>
        <v>80</v>
      </c>
      <c r="AC6" s="449"/>
      <c r="AD6" s="447"/>
      <c r="AE6" s="447"/>
      <c r="AF6" s="447"/>
      <c r="AG6" s="449"/>
      <c r="AH6" s="447"/>
      <c r="AI6" s="447"/>
      <c r="AJ6" s="447"/>
      <c r="AK6" s="403"/>
      <c r="AL6" s="404"/>
      <c r="AM6" s="406"/>
      <c r="AN6" s="436"/>
    </row>
    <row r="7" spans="1:40" x14ac:dyDescent="0.2">
      <c r="B7" s="421" t="s">
        <v>310</v>
      </c>
      <c r="C7" s="403">
        <v>0</v>
      </c>
      <c r="D7" s="404">
        <v>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0</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0</v>
      </c>
      <c r="N7" s="404">
        <v>0</v>
      </c>
      <c r="O7" s="406">
        <f>SUM('Pt 1 Summary of Data'!Q$37:Q$41)+SUM('Pt 1 Summary of Data'!S$37:S$41)-SUM('Pt 1 Summary of Data'!T$37:T$41)+MAX(0,MIN('Pt 1 Summary of Data'!Q$42+'Pt 1 Summary of Data'!S$42-'Pt 1 Summary of Data'!T$42,0.3%*('Pt 1 Summary of Data'!Q$5+'Pt 1 Summary of Data'!S$5-'Pt 1 Summary of Data'!T$5)))</f>
        <v>0</v>
      </c>
      <c r="P7" s="406">
        <f>SUM(M7:O7)</f>
        <v>0</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-2069</v>
      </c>
      <c r="D12" s="406">
        <f>SUM(D$6:D$7) - SUM(D$8:D$11)+IF(AND(OR('Company Information'!$C$12="District of Columbia",'Company Information'!$C$12="Massachusetts",'Company Information'!$C$12="Vermont"),SUM($C$6:$F$11,$C$15:$F$16,$C$38:$D$38)&lt;&gt;0),SUM(I$6:I$7) - SUM(I$10:I$11),0)</f>
        <v>-133</v>
      </c>
      <c r="E12" s="406">
        <f>SUM(E$6:E$7)-SUM(E$8:E$11)+IF(AND(OR('Company Information'!$C$12="District of Columbia",'Company Information'!$C$12="Massachusetts",'Company Information'!$C$12="Vermont"),SUM($C$6:$F$11,$C$15:$F$16,$C$38:$D$38)&lt;&gt;0),SUM(J$6:J$7)-SUM(J$10:J$11),0)</f>
        <v>-2</v>
      </c>
      <c r="F12" s="406">
        <f>IFERROR(SUM(C$12:E$12)+C$17*MAX(0,E$50-C$50)+D$17*MAX(0,E$50-D$50),0)</f>
        <v>-2204</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0</v>
      </c>
      <c r="J12" s="406">
        <f>SUM(J$6:J$7)-SUM(J$10:J$11)+IF(AND(OR('Company Information'!$C$12="District of Columbia",'Company Information'!$C$12="Massachusetts",'Company Information'!$C$12="Vermont"),SUM($H$6:$K$11,$H$15:$K$16,$H$38:$I$38)&lt;&gt;0),SUM(E$6:E$7)-SUM(E$8:E$11),0)</f>
        <v>0</v>
      </c>
      <c r="K12" s="406">
        <f>IFERROR(SUM(H$12:J$12)+H$17*MAX(0,J$50-H$50)+I$17*MAX(0,J$50-I$50),0)</f>
        <v>0</v>
      </c>
      <c r="L12" s="453"/>
      <c r="M12" s="405">
        <f>SUM(M$6:M$7)</f>
        <v>0</v>
      </c>
      <c r="N12" s="406">
        <f>SUM(N$6:N$7)</f>
        <v>-48</v>
      </c>
      <c r="O12" s="406">
        <f>SUM(O$6:O$7)</f>
        <v>0</v>
      </c>
      <c r="P12" s="406">
        <f>SUM(M$12:O$12)+M$17*MAX(0,O$50-M$50)+N$17*MAX(0,O$50-N$50)</f>
        <v>-48</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120</v>
      </c>
      <c r="Z13" s="406">
        <f>1.25*SUM(Z$6:Z$7)</f>
        <v>0</v>
      </c>
      <c r="AA13" s="406">
        <f>SUM(AA$6:AA$7)</f>
        <v>0</v>
      </c>
      <c r="AB13" s="406">
        <f>SUM(AB$6:AB$7)+Y$17*MAX(0,AA$50-Y$50)+Z$17*MAX(0,AA$50-Z$50)</f>
        <v>80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0</v>
      </c>
      <c r="D15" s="409">
        <v>0</v>
      </c>
      <c r="E15" s="401">
        <f>SUM('Pt 1 Summary of Data'!E$5:E$7)+SUM('Pt 1 Summary of Data'!G$5:G$7)-SUM('Pt 1 Summary of Data'!H$5:H$7)-SUM(E$9:E$11)</f>
        <v>0</v>
      </c>
      <c r="F15" s="401">
        <f>SUM(C15:E15)</f>
        <v>0</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0</v>
      </c>
      <c r="N15" s="409">
        <v>0</v>
      </c>
      <c r="O15" s="401">
        <f>SUM('Pt 1 Summary of Data'!Q$5:Q$7)+SUM('Pt 1 Summary of Data'!S$5:S$7)-SUM('Pt 1 Summary of Data'!T$5:T$7)+N$56</f>
        <v>0</v>
      </c>
      <c r="P15" s="401">
        <f>SUM(M15:O15)</f>
        <v>0</v>
      </c>
      <c r="Q15" s="408">
        <v>0</v>
      </c>
      <c r="R15" s="409">
        <v>0</v>
      </c>
      <c r="S15" s="401">
        <f>SUM('Pt 1 Summary of Data'!V$5:V$7)+R$56</f>
        <v>0</v>
      </c>
      <c r="T15" s="401">
        <f>SUM(Q15:S15)</f>
        <v>0</v>
      </c>
      <c r="U15" s="408">
        <v>0</v>
      </c>
      <c r="V15" s="409">
        <v>0</v>
      </c>
      <c r="W15" s="401">
        <f>SUM('Pt 1 Summary of Data'!Y$5:Y$7)+V$56</f>
        <v>0</v>
      </c>
      <c r="X15" s="401">
        <f>SUM(U15:W15)</f>
        <v>0</v>
      </c>
      <c r="Y15" s="408">
        <v>5227</v>
      </c>
      <c r="Z15" s="409">
        <v>0</v>
      </c>
      <c r="AA15" s="401">
        <f>SUM('Pt 1 Summary of Data'!AB$5:AB$7)+Z$56</f>
        <v>0</v>
      </c>
      <c r="AB15" s="401">
        <f>SUM(Y15:AA15)</f>
        <v>5227</v>
      </c>
      <c r="AC15" s="461"/>
      <c r="AD15" s="460"/>
      <c r="AE15" s="460"/>
      <c r="AF15" s="460"/>
      <c r="AG15" s="461"/>
      <c r="AH15" s="460"/>
      <c r="AI15" s="460"/>
      <c r="AJ15" s="460"/>
      <c r="AK15" s="408"/>
      <c r="AL15" s="409"/>
      <c r="AM15" s="401"/>
      <c r="AN15" s="437"/>
    </row>
    <row r="16" spans="1:40" x14ac:dyDescent="0.2">
      <c r="B16" s="421" t="s">
        <v>311</v>
      </c>
      <c r="C16" s="403">
        <v>4060</v>
      </c>
      <c r="D16" s="404">
        <v>-56</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2</v>
      </c>
      <c r="F16" s="406">
        <f>SUM(C16:E16)</f>
        <v>4006</v>
      </c>
      <c r="G16" s="407">
        <f>SUM('Pt 1 Summary of Data'!I$25:I$28,'Pt 1 Summary of Data'!I$30,'Pt 1 Summary of Data'!I$34:I$35)+IF('Company Information'!$C$15="No",IF(MAX('Pt 1 Summary of Data'!I$31:I$32)=0,MIN('Pt 1 Summary of Data'!I$31:I$32),MAX('Pt 1 Summary of Data'!I$31:I$32)),SUM('Pt 1 Summary of Data'!I$31:I$32))</f>
        <v>0</v>
      </c>
      <c r="H16" s="403">
        <v>0</v>
      </c>
      <c r="I16" s="404">
        <v>0</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0</v>
      </c>
      <c r="L16" s="407">
        <f>SUM('Pt 1 Summary of Data'!O$25:O$28,'Pt 1 Summary of Data'!O$30,'Pt 1 Summary of Data'!O$34:O$35)+IF('Company Information'!$C$15="No",IF(MAX('Pt 1 Summary of Data'!O$31:O$32)=0,MIN('Pt 1 Summary of Data'!O$31:O$32),MAX('Pt 1 Summary of Data'!O$31:O$32)),SUM('Pt 1 Summary of Data'!O$31:O$32))</f>
        <v>0</v>
      </c>
      <c r="M16" s="403">
        <v>186</v>
      </c>
      <c r="N16" s="404">
        <v>-9</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6">
        <f>SUM(M16:O16)</f>
        <v>177</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1996</v>
      </c>
      <c r="Z16" s="404">
        <v>-49</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1947</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-4060</v>
      </c>
      <c r="D17" s="406">
        <f>D$15-D$16+IF(AND(OR('Company Information'!$C$12="District of Columbia",'Company Information'!$C$12="Massachusetts",'Company Information'!$C$12="Vermont"),SUM($C$6:$F$11,$C$15:$F$16,$C$38:$D$38)&lt;&gt;0),I$15-I$16,0)</f>
        <v>56</v>
      </c>
      <c r="E17" s="406">
        <f>E$15-E$16+IF(AND(OR('Company Information'!$C$12="District of Columbia",'Company Information'!$C$12="Massachusetts",'Company Information'!$C$12="Vermont"),SUM($C$6:$F$11,$C$15:$F$16,$C$38:$D$38)&lt;&gt;0),J$15-J$16,0)</f>
        <v>-2</v>
      </c>
      <c r="F17" s="406">
        <f>F$15-F$16+IF(AND(OR('Company Information'!$C$12="District of Columbia",'Company Information'!$C$12="Massachusetts",'Company Information'!$C$12="Vermont"),SUM($C$6:$F$11,$C$15:$F$16,$C$38:$D$38)&lt;&gt;0),K$15-K$16,0)</f>
        <v>-4006</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0</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0</v>
      </c>
      <c r="L17" s="456"/>
      <c r="M17" s="405">
        <f>M$15-M$16</f>
        <v>-186</v>
      </c>
      <c r="N17" s="406">
        <f>N$15-N$16</f>
        <v>9</v>
      </c>
      <c r="O17" s="406">
        <f>O$15-O$16</f>
        <v>0</v>
      </c>
      <c r="P17" s="406">
        <f>P$15-P$16</f>
        <v>-177</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3231</v>
      </c>
      <c r="Z17" s="406">
        <f>Z$15-Z$16</f>
        <v>49</v>
      </c>
      <c r="AA17" s="406">
        <f>AA$15-AA$16</f>
        <v>0</v>
      </c>
      <c r="AB17" s="406">
        <f>AB$15-AB$16</f>
        <v>3280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0</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0</v>
      </c>
      <c r="N38" s="411">
        <v>0</v>
      </c>
      <c r="O38" s="438">
        <f>('Pt 1 Summary of Data'!Q$59+'Pt 1 Summary of Data'!S$59-'Pt 1 Summary of Data'!T$59)/12</f>
        <v>0</v>
      </c>
      <c r="P38" s="438">
        <f>SUM(M$38:O$38)</f>
        <v>0</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4.5833000000000004</v>
      </c>
      <c r="Z38" s="411">
        <v>0</v>
      </c>
      <c r="AA38" s="438">
        <f>'Pt 1 Summary of Data'!AB$59/12</f>
        <v>0</v>
      </c>
      <c r="AB38" s="438">
        <f>SUM(Y$38:AA$38)</f>
        <v>4.5833000000000004</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t="str">
        <f>IF(OR(P$38&lt;1000,P$17&lt;=0),"",P$12/P$17)</f>
        <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t="str">
        <f>IF(P$45="","",P$42)</f>
        <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t="str">
        <f>IF(P$45="","",ROUND(P$45+MAX(0,P$47),3))</f>
        <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t="str">
        <f>P$48</f>
        <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t="str">
        <f>IF(P$38&lt;1000,"",MAX(0,O$15-O$16))</f>
        <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509</v>
      </c>
      <c r="D23" s="5"/>
      <c r="E23" s="5"/>
      <c r="F23" s="5"/>
      <c r="G23" s="5"/>
      <c r="H23" s="5"/>
      <c r="I23" s="5"/>
      <c r="J23" s="5"/>
      <c r="K23" s="4"/>
    </row>
    <row r="24" spans="2:12" s="11" customFormat="1" ht="100.15" customHeight="1" x14ac:dyDescent="0.2">
      <c r="B24" s="96" t="s">
        <v>213</v>
      </c>
      <c r="C24" s="3" t="s">
        <v>509</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t="s">
        <v>508</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2016-07-28T17:46:15Z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