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17" i="10"/>
  <c r="Y46" i="10" s="1"/>
  <c r="Y13" i="10"/>
  <c r="X41" i="10"/>
  <c r="W16" i="10"/>
  <c r="W7" i="10"/>
  <c r="X7" i="10" s="1"/>
  <c r="T41" i="10"/>
  <c r="S16" i="10"/>
  <c r="T16" i="10" s="1"/>
  <c r="S15" i="10"/>
  <c r="P41" i="10"/>
  <c r="O38" i="10"/>
  <c r="O16" i="10"/>
  <c r="P16" i="10" s="1"/>
  <c r="N17" i="10"/>
  <c r="N12" i="10"/>
  <c r="M45" i="10"/>
  <c r="M17" i="10"/>
  <c r="M12" i="10"/>
  <c r="L60" i="10"/>
  <c r="L58" i="10" s="1"/>
  <c r="L59" i="10"/>
  <c r="L36" i="10"/>
  <c r="L35" i="10"/>
  <c r="L16" i="10"/>
  <c r="L10" i="10"/>
  <c r="L6" i="10"/>
  <c r="K41" i="10"/>
  <c r="K16" i="10"/>
  <c r="K11" i="10"/>
  <c r="K10" i="10"/>
  <c r="J16" i="10"/>
  <c r="J11" i="10"/>
  <c r="J10" i="10"/>
  <c r="J6" i="10"/>
  <c r="G60" i="10"/>
  <c r="G59" i="10"/>
  <c r="G36" i="10"/>
  <c r="G35" i="10"/>
  <c r="G16" i="10"/>
  <c r="G10" i="10"/>
  <c r="G9" i="10"/>
  <c r="G8" i="10"/>
  <c r="F41" i="10"/>
  <c r="F9" i="10"/>
  <c r="E16" i="10"/>
  <c r="F16" i="10" s="1"/>
  <c r="E11" i="10"/>
  <c r="F11" i="10" s="1"/>
  <c r="E10" i="10"/>
  <c r="F10" i="10" s="1"/>
  <c r="E9" i="10"/>
  <c r="E8" i="10"/>
  <c r="F8" i="10" s="1"/>
  <c r="AU55" i="18"/>
  <c r="AU54" i="18"/>
  <c r="AT55" i="18"/>
  <c r="AT22" i="4" s="1"/>
  <c r="AT54" i="18"/>
  <c r="AT12" i="4" s="1"/>
  <c r="AS55" i="18"/>
  <c r="AS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N55" i="18"/>
  <c r="N54" i="18"/>
  <c r="M55" i="18"/>
  <c r="M22" i="4" s="1"/>
  <c r="M54" i="18"/>
  <c r="M12" i="4" s="1"/>
  <c r="L55" i="18"/>
  <c r="L54" i="18"/>
  <c r="K55" i="18"/>
  <c r="K22" i="4" s="1"/>
  <c r="K54" i="18"/>
  <c r="K12" i="4"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5" i="4"/>
  <c r="AS60" i="4"/>
  <c r="AS22" i="4"/>
  <c r="AS12" i="4"/>
  <c r="AS5" i="4"/>
  <c r="AC60" i="4"/>
  <c r="AC5" i="4"/>
  <c r="AB60" i="4"/>
  <c r="AB22" i="4"/>
  <c r="AB12" i="4"/>
  <c r="AA6" i="10" s="1"/>
  <c r="AB6" i="10" s="1"/>
  <c r="AB5" i="4"/>
  <c r="AA60" i="4"/>
  <c r="AA5" i="4"/>
  <c r="Z60" i="4"/>
  <c r="Z22" i="4"/>
  <c r="Z12" i="4"/>
  <c r="Z5" i="4"/>
  <c r="Y60" i="4"/>
  <c r="Y5" i="4"/>
  <c r="W15" i="10" s="1"/>
  <c r="X15" i="10" s="1"/>
  <c r="X60" i="4"/>
  <c r="X22" i="4"/>
  <c r="X12" i="4"/>
  <c r="X5" i="4"/>
  <c r="W60" i="4"/>
  <c r="W5" i="4"/>
  <c r="V60" i="4"/>
  <c r="V22" i="4"/>
  <c r="V12" i="4"/>
  <c r="S6" i="10" s="1"/>
  <c r="V5" i="4"/>
  <c r="S7" i="10" s="1"/>
  <c r="T7" i="10" s="1"/>
  <c r="U60" i="4"/>
  <c r="U5" i="4"/>
  <c r="T60" i="4"/>
  <c r="T22" i="4"/>
  <c r="T12" i="4"/>
  <c r="T5" i="4"/>
  <c r="S60" i="4"/>
  <c r="S5" i="4"/>
  <c r="R60" i="4"/>
  <c r="R22" i="4"/>
  <c r="R12" i="4"/>
  <c r="R5" i="4"/>
  <c r="Q60" i="4"/>
  <c r="Q5" i="4"/>
  <c r="P60" i="4"/>
  <c r="P22" i="4"/>
  <c r="P12" i="4"/>
  <c r="P5" i="4"/>
  <c r="O60" i="4"/>
  <c r="O5" i="4"/>
  <c r="L7" i="10" s="1"/>
  <c r="N60" i="4"/>
  <c r="N22" i="4"/>
  <c r="N12" i="4"/>
  <c r="N5" i="4"/>
  <c r="M60" i="4"/>
  <c r="M5" i="4"/>
  <c r="L60" i="4"/>
  <c r="L22" i="4"/>
  <c r="L12" i="4"/>
  <c r="L5" i="4"/>
  <c r="K60" i="4"/>
  <c r="K5" i="4"/>
  <c r="J15" i="10" s="1"/>
  <c r="J60" i="4"/>
  <c r="J22" i="4"/>
  <c r="J12" i="4"/>
  <c r="J5" i="4"/>
  <c r="I60" i="4"/>
  <c r="I5" i="4"/>
  <c r="H60" i="4"/>
  <c r="H22" i="4"/>
  <c r="H12" i="4"/>
  <c r="H5" i="4"/>
  <c r="G60" i="4"/>
  <c r="G5" i="4"/>
  <c r="F60" i="4"/>
  <c r="F22" i="4"/>
  <c r="F12" i="4"/>
  <c r="F5" i="4"/>
  <c r="E60" i="4"/>
  <c r="E5" i="4"/>
  <c r="D60" i="4"/>
  <c r="D22" i="4"/>
  <c r="D12" i="4"/>
  <c r="D5" i="4"/>
  <c r="K15" i="10" l="1"/>
  <c r="P6" i="10"/>
  <c r="W13" i="10"/>
  <c r="V17" i="10"/>
  <c r="V46" i="10" s="1"/>
  <c r="X6" i="10"/>
  <c r="U17" i="10" s="1"/>
  <c r="V13" i="10"/>
  <c r="L19" i="10"/>
  <c r="K6" i="10"/>
  <c r="H12" i="10" s="1"/>
  <c r="I17" i="10"/>
  <c r="I45" i="10" s="1"/>
  <c r="G58" i="10"/>
  <c r="G19" i="10" s="1"/>
  <c r="J7" i="10"/>
  <c r="K7" i="10" s="1"/>
  <c r="N45" i="10"/>
  <c r="T15" i="10"/>
  <c r="X16" i="10"/>
  <c r="T6" i="10"/>
  <c r="F6" i="10"/>
  <c r="AB13" i="10"/>
  <c r="E7" i="10"/>
  <c r="F7" i="10" s="1"/>
  <c r="G15" i="10"/>
  <c r="G7" i="10"/>
  <c r="G20" i="10" s="1"/>
  <c r="O15" i="10"/>
  <c r="AA7" i="10"/>
  <c r="AB7" i="10" s="1"/>
  <c r="AA15" i="10"/>
  <c r="E15" i="10"/>
  <c r="L15" i="10"/>
  <c r="O7" i="10"/>
  <c r="P7" i="10" s="1"/>
  <c r="AA13" i="10"/>
  <c r="AB38" i="10"/>
  <c r="P38" i="10"/>
  <c r="X13" i="10" l="1"/>
  <c r="U46" i="10"/>
  <c r="AB42" i="10"/>
  <c r="AB39" i="10"/>
  <c r="AB52" i="10"/>
  <c r="F15" i="10"/>
  <c r="F17" i="10" s="1"/>
  <c r="P15" i="10"/>
  <c r="P17" i="10" s="1"/>
  <c r="P45" i="10" s="1"/>
  <c r="O17" i="10"/>
  <c r="R17" i="10"/>
  <c r="R46" i="10" s="1"/>
  <c r="Q17" i="10"/>
  <c r="T17" i="10"/>
  <c r="L32" i="10"/>
  <c r="L24" i="10"/>
  <c r="L23" i="10"/>
  <c r="L27" i="10"/>
  <c r="S38" i="10"/>
  <c r="R13" i="10"/>
  <c r="S17" i="10"/>
  <c r="O12" i="10"/>
  <c r="P12" i="10" s="1"/>
  <c r="P52" i="10"/>
  <c r="P42" i="10"/>
  <c r="S13" i="10"/>
  <c r="J38" i="10"/>
  <c r="AA17" i="10"/>
  <c r="AA46" i="10" s="1"/>
  <c r="AB15" i="10"/>
  <c r="AB17" i="10" s="1"/>
  <c r="AB46" i="10" s="1"/>
  <c r="G32" i="10"/>
  <c r="G24" i="10"/>
  <c r="G22" i="10"/>
  <c r="G27" i="10"/>
  <c r="G23" i="10"/>
  <c r="D17" i="10"/>
  <c r="D45" i="10" s="1"/>
  <c r="L20" i="10"/>
  <c r="J12" i="10"/>
  <c r="H17" i="10"/>
  <c r="W38" i="10"/>
  <c r="J17" i="10"/>
  <c r="Q13" i="10"/>
  <c r="I12" i="10"/>
  <c r="E12" i="10"/>
  <c r="D12" i="10"/>
  <c r="X17" i="10"/>
  <c r="W17" i="10"/>
  <c r="U13" i="10"/>
  <c r="K17" i="10"/>
  <c r="P47" i="10" l="1"/>
  <c r="P48" i="10" s="1"/>
  <c r="P51" i="10" s="1"/>
  <c r="P53" i="10" s="1"/>
  <c r="E11" i="16" s="1"/>
  <c r="AB47" i="10"/>
  <c r="AB48" i="10"/>
  <c r="AB51" i="10" s="1"/>
  <c r="K38" i="10"/>
  <c r="J45" i="10"/>
  <c r="Q46" i="10"/>
  <c r="T13" i="10"/>
  <c r="W46" i="10"/>
  <c r="X38" i="10"/>
  <c r="G21" i="10"/>
  <c r="G26" i="10" s="1"/>
  <c r="G25" i="10" s="1"/>
  <c r="G28" i="10" s="1"/>
  <c r="G30" i="10"/>
  <c r="G31" i="10" s="1"/>
  <c r="G29" i="10" s="1"/>
  <c r="G33" i="10" s="1"/>
  <c r="G34" i="10" s="1"/>
  <c r="L22" i="10"/>
  <c r="K12" i="10"/>
  <c r="H45" i="10"/>
  <c r="E38" i="10"/>
  <c r="S46" i="10"/>
  <c r="T38" i="10"/>
  <c r="C12" i="10"/>
  <c r="E17" i="10"/>
  <c r="AB53" i="10"/>
  <c r="H11" i="16" s="1"/>
  <c r="C17" i="10"/>
  <c r="O45" i="10"/>
  <c r="P39" i="10" s="1"/>
  <c r="L21" i="10" l="1"/>
  <c r="L26" i="10" s="1"/>
  <c r="L25" i="10" s="1"/>
  <c r="L28" i="10" s="1"/>
  <c r="L30" i="10"/>
  <c r="L31" i="10" s="1"/>
  <c r="L29" i="10" s="1"/>
  <c r="L33" i="10" s="1"/>
  <c r="L34" i="10" s="1"/>
  <c r="K39" i="10"/>
  <c r="K42" i="10" s="1"/>
  <c r="K52" i="10"/>
  <c r="K45" i="10"/>
  <c r="C45" i="10"/>
  <c r="F12" i="10"/>
  <c r="T42" i="10"/>
  <c r="T52" i="10"/>
  <c r="T39" i="10"/>
  <c r="T46" i="10"/>
  <c r="T53" i="10"/>
  <c r="F11" i="16" s="1"/>
  <c r="X53" i="10"/>
  <c r="G11" i="16" s="1"/>
  <c r="X39" i="10"/>
  <c r="X52" i="10"/>
  <c r="X46" i="10"/>
  <c r="X42" i="10"/>
  <c r="F38" i="10"/>
  <c r="E45" i="10"/>
  <c r="T48" i="10" l="1"/>
  <c r="T51" i="10" s="1"/>
  <c r="T47" i="10"/>
  <c r="F42" i="10"/>
  <c r="F45" i="10"/>
  <c r="F53" i="10"/>
  <c r="C11" i="16" s="1"/>
  <c r="F52" i="10"/>
  <c r="F39" i="10"/>
  <c r="X47" i="10"/>
  <c r="X48" i="10"/>
  <c r="X51" i="10" s="1"/>
  <c r="K47" i="10"/>
  <c r="K48" i="10"/>
  <c r="K51" i="10" s="1"/>
  <c r="K53" i="10" s="1"/>
  <c r="D11" i="16" s="1"/>
  <c r="F48" i="10" l="1"/>
  <c r="F51" i="10" s="1"/>
  <c r="F47" i="10"/>
</calcChain>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<sst xmlns="http://schemas.openxmlformats.org/spreadsheetml/2006/main" count="569" uniqueCount="507">
  <si>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</si>
  <si>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</si>
  <si>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</si>
  <si>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</si>
  <si>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</si>
  <si>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</si>
  <si>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</si>
  <si>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</si>
  <si>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</si>
  <si>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</si>
  <si>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</si>
  <si>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</si>
  <si>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</si>
  <si>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</si>
  <si>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</si>
  <si>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</si>
  <si>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</si>
  <si>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</si>
  <si>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</si>
  <si>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</si>
  <si>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</si>
  <si>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</si>
  <si>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</si>
  <si>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</si>
  <si>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</si>
  <si>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</si>
  <si>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</si>
  <si>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</si>
  <si>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</si>
  <si>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</si>
  <si>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</si>
  <si>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</si>
  <si>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</si>
  <si>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</si>
  <si>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</si>
  <si>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</si>
  <si>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</si>
  <si>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</si>
  <si>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</si>
  <si>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</si>
  <si>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</si>
  <si>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</si>
  <si>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</si>
  <si>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</si>
  <si>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</si>
  <si>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</si>
  <si>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</si>
  <si>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</si>
  <si>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</si>
  <si>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</si>
  <si>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</si>
  <si>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</si>
  <si>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</si>
  <si>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</si>
  <si>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</si>
  <si>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</si>
  <si>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</si>
  <si>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</si>
  <si>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</si>
  <si>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</si>
  <si>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</si>
  <si>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</si>
  <si>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</si>
  <si>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</si>
  <si>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</si>
  <si>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</si>
  <si>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</si>
  <si>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</si>
  <si>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</si>
  <si>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</si>
  <si>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</si>
  <si>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</si>
  <si>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</si>
  <si>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</si>
  <si>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</si>
  <si>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</si>
  <si>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</si>
  <si>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</si>
  <si>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</si>
  <si>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</si>
  <si>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</si>
  <si>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</si>
  <si>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</si>
  <si>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</si>
  <si>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</si>
  <si>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</si>
  <si>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</si>
  <si>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</si>
  <si>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</si>
  <si>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</si>
  <si>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</si>
  <si>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</si>
  <si>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</si>
  <si>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</si>
  <si>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</si>
  <si>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</si>
  <si>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</si>
  <si>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</si>
  <si>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</si>
  <si>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</si>
  <si>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</si>
  <si>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</si>
  <si>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</si>
  <si>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</si>
  <si>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</si>
  <si>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</si>
  <si>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</si>
  <si>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</si>
  <si>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</si>
  <si>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</si>
  <si>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</si>
  <si>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</si>
  <si>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</si>
  <si>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</si>
  <si>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</si>
  <si>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</si>
  <si>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</si>
  <si>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</si>
  <si>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</si>
  <si>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</si>
  <si>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</si>
  <si>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</si>
  <si>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</si>
  <si>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</si>
  <si>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</si>
  <si>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</si>
  <si>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</si>
  <si>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</si>
  <si>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</si>
  <si>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</si>
  <si>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</si>
  <si>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</si>
  <si>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</si>
  <si>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</si>
  <si>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</si>
  <si>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</si>
  <si>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</si>
  <si>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</si>
  <si>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</si>
  <si>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</si>
  <si>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</si>
  <si>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</si>
  <si>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</si>
  <si>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</si>
  <si>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</si>
  <si>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</si>
  <si>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</si>
  <si>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</si>
  <si>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</si>
  <si>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</si>
  <si>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</si>
  <si>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</si>
  <si>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</si>
  <si>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</si>
  <si>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</si>
  <si>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</si>
  <si>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</si>
  <si>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</si>
  <si>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</si>
  <si>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</si>
  <si>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</si>
  <si>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</si>
  <si>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</si>
  <si>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</si>
  <si>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</si>
  <si>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</si>
  <si>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</si>
  <si>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</si>
  <si>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</si>
  <si>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</si>
  <si>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</si>
  <si>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</si>
  <si>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</si>
  <si>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</si>
  <si>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</si>
  <si>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</si>
  <si>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</si>
  <si>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</si>
  <si>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</si>
  <si>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</si>
  <si>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</si>
  <si>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</si>
  <si>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</si>
  <si>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</si>
  <si>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</si>
  <si>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</si>
  <si>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</si>
  <si>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</si>
  <si>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</si>
  <si>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</si>
  <si>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</si>
  <si>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</si>
  <si>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</si>
  <si>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</si>
  <si>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</si>
  <si>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</si>
  <si>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</si>
  <si>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</si>
  <si>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</si>
  <si>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</si>
  <si>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</si>
  <si>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</si>
  <si>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</si>
  <si>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</si>
  <si>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</si>
  <si>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</si>
  <si>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</si>
  <si>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</si>
  <si>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</si>
  <si>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</si>
  <si>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</si>
  <si>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</si>
  <si>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</si>
  <si>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</si>
  <si>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</si>
  <si>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</si>
  <si>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</si>
  <si>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</si>
  <si>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</si>
  <si>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</si>
  <si>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</si>
  <si>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</si>
  <si>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</si>
  <si>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</si>
  <si>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</si>
  <si>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</si>
  <si>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</si>
  <si>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</si>
  <si>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</si>
  <si>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</si>
  <si>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</si>
  <si>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</si>
  <si>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</si>
  <si>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</si>
  <si>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</si>
  <si>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</si>
  <si>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</si>
  <si>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</si>
  <si>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</si>
  <si>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</si>
  <si>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</si>
  <si>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</si>
  <si>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</si>
  <si>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</si>
  <si>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</si>
  <si>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</si>
  <si>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</si>
  <si>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</si>
  <si>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</si>
  <si>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</si>
  <si>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</si>
  <si>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</si>
  <si>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</si>
  <si>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</si>
  <si>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</si>
  <si>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</si>
  <si>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</si>
  <si>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</si>
  <si>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</si>
  <si>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</si>
  <si>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</si>
  <si>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</si>
  <si>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</si>
  <si>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</si>
  <si>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</si>
  <si>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</si>
  <si>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</si>
  <si>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</si>
  <si>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</si>
  <si>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</si>
  <si>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</si>
  <si>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</si>
  <si>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</si>
  <si>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</si>
  <si>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</si>
  <si>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</si>
  <si>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</si>
  <si>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</si>
  <si>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</si>
  <si>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</si>
  <si>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</si>
  <si>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</si>
  <si>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</si>
  <si>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</si>
  <si>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</si>
  <si>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</si>
  <si>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</si>
  <si>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</si>
  <si>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</si>
  <si>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</si>
  <si>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</si>
  <si>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</si>
  <si>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</si>
  <si>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</si>
  <si>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</si>
  <si>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</si>
  <si>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</si>
  <si>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</si>
  <si>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</si>
  <si>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</si>
  <si>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</si>
  <si>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</si>
  <si>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</si>
  <si>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</si>
  <si>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</si>
  <si>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</si>
  <si>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</si>
  <si>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</si>
  <si>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</si>
  <si>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</si>
  <si>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</si>
  <si>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</si>
  <si>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</si>
  <si>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</si>
  <si>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</si>
  <si>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</si>
  <si>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</si>
  <si>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</si>
  <si>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</si>
  <si>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</si>
  <si>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</si>
  <si>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</si>
  <si>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</si>
  <si>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</si>
  <si>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</si>
  <si>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</si>
  <si>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</si>
  <si>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</si>
  <si>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</si>
  <si>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</si>
  <si>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</si>
  <si>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</si>
  <si>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</si>
  <si>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</si>
  <si>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</si>
  <si>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</si>
  <si>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</si>
  <si>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</si>
  <si>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</si>
  <si>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</si>
  <si>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</si>
  <si>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</si>
  <si>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</si>
  <si>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</si>
  <si>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</si>
  <si>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</si>
  <si>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</si>
  <si>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</si>
  <si>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</si>
  <si>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</si>
  <si>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</si>
  <si>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</si>
  <si>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</si>
  <si>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</si>
  <si>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</si>
  <si>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</si>
  <si>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</si>
  <si>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</si>
  <si>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</si>
  <si>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</si>
  <si>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</si>
  <si>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</si>
  <si>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</si>
  <si>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</si>
  <si>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</si>
  <si>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</si>
  <si>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</si>
  <si>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</si>
  <si>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</si>
  <si>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</si>
  <si>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</si>
  <si>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</si>
  <si>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</si>
  <si>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</si>
  <si>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</si>
  <si>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</si>
  <si>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</si>
  <si>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</si>
  <si>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</si>
  <si>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</si>
  <si>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</si>
  <si>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</si>
  <si>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</si>
  <si>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</si>
  <si>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</si>
  <si>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</si>
  <si>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</si>
  <si>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</si>
  <si>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</si>
  <si>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</si>
  <si>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</si>
  <si>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</si>
  <si>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</si>
  <si>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</si>
  <si>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</si>
  <si>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</si>
  <si>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</si>
  <si>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</si>
  <si>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</si>
  <si>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</si>
  <si>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</si>
  <si>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</si>
  <si>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</si>
  <si>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</si>
  <si>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</si>
  <si>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</si>
  <si>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</si>
  <si>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</si>
  <si>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</si>
  <si>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</si>
  <si>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</si>
  <si>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</si>
  <si>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</si>
  <si>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</si>
  <si>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</si>
  <si>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</si>
  <si>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</si>
  <si>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</si>
  <si>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</si>
  <si>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</si>
  <si>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</si>
  <si>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</si>
  <si>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</si>
  <si>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</si>
  <si>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</si>
  <si>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</si>
  <si>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</si>
  <si>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</si>
  <si>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</si>
  <si>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</si>
  <si>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</si>
  <si>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</si>
  <si>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</si>
  <si>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</si>
  <si>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</si>
  <si>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</si>
  <si>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</si>
  <si>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</si>
  <si>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</si>
  <si>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</si>
  <si>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</si>
  <si>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</si>
  <si>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</si>
  <si>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</si>
  <si>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</si>
  <si>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</si>
  <si>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</si>
  <si>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</si>
  <si>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</si>
  <si>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</si>
  <si>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</si>
  <si>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</si>
  <si>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</si>
  <si>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</si>
  <si>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</si>
  <si>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</si>
  <si>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</si>
  <si>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</si>
  <si>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</si>
  <si>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</si>
  <si>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</si>
  <si>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</si>
  <si>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</si>
  <si>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</si>
  <si>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</si>
  <si>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</si>
  <si>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</si>
  <si>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</si>
  <si>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</si>
  <si>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</si>
  <si>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</si>
  <si>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</si>
  <si>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</si>
  <si>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</si>
  <si>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</si>
  <si>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</si>
  <si>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</si>
  <si>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</si>
  <si>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</si>
  <si>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</si>
  <si>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</si>
  <si>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</si>
  <si>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</si>
  <si>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</si>
  <si>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</si>
  <si>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</si>
  <si>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</si>
  <si>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</si>
  <si>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</si>
  <si>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</si>
  <si>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</si>
  <si>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</si>
  <si>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</si>
  <si>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</si>
  <si>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</si>
  <si>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</si>
  <si>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California, Inc.</t>
  </si>
  <si>
    <t>Cigna Hlth Grp</t>
  </si>
  <si>
    <t>N/A</t>
  </si>
  <si>
    <t>00901</t>
  </si>
  <si>
    <t>2015</t>
  </si>
  <si>
    <t>400 North Brand Boulevard, #400 Glendale, CA 91203</t>
  </si>
  <si>
    <t>953310115</t>
  </si>
  <si>
    <t>068912</t>
  </si>
  <si>
    <t>23663</t>
  </si>
  <si>
    <t>101</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</si>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</sst>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row>
    <row r="10" spans="1:6" x14ac:dyDescent="0.2">
      <c r="B10" s="153" t="s">
        <v>58</v>
      </c>
      <c r="C10" s="486" t="s">
        <v>498</v>
      </c>
    </row>
    <row r="11" spans="1:6" x14ac:dyDescent="0.2">
      <c r="B11" s="153" t="s">
        <v>349</v>
      </c>
      <c r="C11" s="486" t="s">
        <v>504</v>
      </c>
    </row>
    <row r="12" spans="1:6" x14ac:dyDescent="0.2">
      <c r="B12" s="153" t="s">
        <v>35</v>
      </c>
      <c r="C12" s="486" t="s">
        <v>139</v>
      </c>
    </row>
    <row r="13" spans="1:6" x14ac:dyDescent="0.2">
      <c r="B13" s="153" t="s">
        <v>50</v>
      </c>
      <c r="C13" s="486" t="s">
        <v>139</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-51779</v>
      </c>
      <c r="E5" s="219">
        <f>SUM('Pt 2 Premium and Claims'!E$5,'Pt 2 Premium and Claims'!E$6,-'Pt 2 Premium and Claims'!E$7,-'Pt 2 Premium and Claims'!E$13,'Pt 2 Premium and Claims'!E$14:'Pt 2 Premium and Claims'!E$17)</f>
        <v>-931</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4707655</v>
      </c>
      <c r="K5" s="219">
        <f>SUM('Pt 2 Premium and Claims'!K$5,'Pt 2 Premium and Claims'!K$6,-'Pt 2 Premium and Claims'!K$7,-'Pt 2 Premium and Claims'!K$13,'Pt 2 Premium and Claims'!K$14,'Pt 2 Premium and Claims'!K$16:'Pt 2 Premium and Claims'!K$17)</f>
        <v>4764658</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946013990</v>
      </c>
      <c r="Q5" s="219">
        <f>SUM('Pt 2 Premium and Claims'!Q$5,'Pt 2 Premium and Claims'!Q$6,-'Pt 2 Premium and Claims'!Q$7,-'Pt 2 Premium and Claims'!Q$13,'Pt 2 Premium and Claims'!Q$14)</f>
        <v>956090981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9</v>
      </c>
      <c r="K7" s="223">
        <v>9</v>
      </c>
      <c r="L7" s="223"/>
      <c r="M7" s="223"/>
      <c r="N7" s="223"/>
      <c r="O7" s="222"/>
      <c r="P7" s="222">
        <v>1757</v>
      </c>
      <c r="Q7" s="223">
        <v>1757</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-8806311</v>
      </c>
      <c r="AU8" s="226">
        <v>0</v>
      </c>
      <c r="AV8" s="296"/>
      <c r="AW8" s="303"/>
    </row>
    <row r="9" spans="1:49" x14ac:dyDescent="0.2">
      <c r="B9" s="245" t="s">
        <v>226</v>
      </c>
      <c r="C9" s="209" t="s">
        <v>60</v>
      </c>
      <c r="D9" s="222">
        <v>0</v>
      </c>
      <c r="E9" s="273"/>
      <c r="F9" s="276"/>
      <c r="G9" s="276"/>
      <c r="H9" s="276"/>
      <c r="I9" s="277"/>
      <c r="J9" s="222">
        <v>-15000</v>
      </c>
      <c r="K9" s="273"/>
      <c r="L9" s="276"/>
      <c r="M9" s="276"/>
      <c r="N9" s="276"/>
      <c r="O9" s="277"/>
      <c r="P9" s="222">
        <v>-285000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-760879</v>
      </c>
      <c r="E12" s="219">
        <f>'Pt 2 Premium and Claims'!E$54</f>
        <v>-673483</v>
      </c>
      <c r="F12" s="219">
        <f>'Pt 2 Premium and Claims'!F$54</f>
        <v>0</v>
      </c>
      <c r="G12" s="219">
        <f>'Pt 2 Premium and Claims'!G$54</f>
        <v>0</v>
      </c>
      <c r="H12" s="219">
        <f>'Pt 2 Premium and Claims'!H$54</f>
        <v>0</v>
      </c>
      <c r="I12" s="218">
        <f>'Pt 2 Premium and Claims'!I$54</f>
        <v>0</v>
      </c>
      <c r="J12" s="218">
        <f>'Pt 2 Premium and Claims'!J$54</f>
        <v>4347723</v>
      </c>
      <c r="K12" s="219">
        <f>'Pt 2 Premium and Claims'!K$54</f>
        <v>4334879</v>
      </c>
      <c r="L12" s="219">
        <f>'Pt 2 Premium and Claims'!L$54</f>
        <v>0</v>
      </c>
      <c r="M12" s="219">
        <f>'Pt 2 Premium and Claims'!M$54</f>
        <v>0</v>
      </c>
      <c r="N12" s="219">
        <f>'Pt 2 Premium and Claims'!N$54</f>
        <v>0</v>
      </c>
      <c r="O12" s="218">
        <f>'Pt 2 Premium and Claims'!O$54</f>
        <v>0</v>
      </c>
      <c r="P12" s="218">
        <f>'Pt 2 Premium and Claims'!P$54</f>
        <v>871063933</v>
      </c>
      <c r="Q12" s="219">
        <f>'Pt 2 Premium and Claims'!Q$54</f>
        <v>885728864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436841</v>
      </c>
      <c r="K13" s="223">
        <v>440576</v>
      </c>
      <c r="L13" s="223"/>
      <c r="M13" s="274"/>
      <c r="N13" s="275"/>
      <c r="O13" s="222"/>
      <c r="P13" s="222">
        <v>93884401</v>
      </c>
      <c r="Q13" s="223">
        <v>93926296</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20</v>
      </c>
      <c r="K15" s="223">
        <v>20</v>
      </c>
      <c r="L15" s="223"/>
      <c r="M15" s="273"/>
      <c r="N15" s="279"/>
      <c r="O15" s="222"/>
      <c r="P15" s="222">
        <v>4238</v>
      </c>
      <c r="Q15" s="223">
        <v>4238</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-6542872</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142400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46809</v>
      </c>
      <c r="E25" s="223">
        <v>46809</v>
      </c>
      <c r="F25" s="223"/>
      <c r="G25" s="223"/>
      <c r="H25" s="223"/>
      <c r="I25" s="222">
        <v>0</v>
      </c>
      <c r="J25" s="222">
        <v>-43683</v>
      </c>
      <c r="K25" s="223">
        <v>-43683</v>
      </c>
      <c r="L25" s="223"/>
      <c r="M25" s="223"/>
      <c r="N25" s="223"/>
      <c r="O25" s="222"/>
      <c r="P25" s="222">
        <v>-2146676</v>
      </c>
      <c r="Q25" s="223">
        <v>-2146676</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-2749863</v>
      </c>
      <c r="AU25" s="226">
        <v>0</v>
      </c>
      <c r="AV25" s="226">
        <v>0</v>
      </c>
      <c r="AW25" s="303"/>
    </row>
    <row r="26" spans="1:49" s="11" customFormat="1" x14ac:dyDescent="0.2">
      <c r="A26" s="41"/>
      <c r="B26" s="248" t="s">
        <v>242</v>
      </c>
      <c r="C26" s="209"/>
      <c r="D26" s="222">
        <v>0</v>
      </c>
      <c r="E26" s="223">
        <v>0</v>
      </c>
      <c r="F26" s="223"/>
      <c r="G26" s="223"/>
      <c r="H26" s="223"/>
      <c r="I26" s="222">
        <v>0</v>
      </c>
      <c r="J26" s="222">
        <v>1773</v>
      </c>
      <c r="K26" s="223">
        <v>1773</v>
      </c>
      <c r="L26" s="223"/>
      <c r="M26" s="223"/>
      <c r="N26" s="223"/>
      <c r="O26" s="222"/>
      <c r="P26" s="222">
        <v>385326</v>
      </c>
      <c r="Q26" s="223">
        <v>385326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89755</v>
      </c>
      <c r="K27" s="223">
        <v>89755</v>
      </c>
      <c r="L27" s="223"/>
      <c r="M27" s="223"/>
      <c r="N27" s="223"/>
      <c r="O27" s="222"/>
      <c r="P27" s="222">
        <v>17991845</v>
      </c>
      <c r="Q27" s="223">
        <v>17991845</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5812</v>
      </c>
      <c r="K28" s="223">
        <v>5812</v>
      </c>
      <c r="L28" s="223"/>
      <c r="M28" s="223"/>
      <c r="N28" s="223"/>
      <c r="O28" s="222"/>
      <c r="P28" s="222">
        <v>1165042</v>
      </c>
      <c r="Q28" s="223">
        <v>1165042</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10333</v>
      </c>
      <c r="E30" s="223">
        <v>10333</v>
      </c>
      <c r="F30" s="223"/>
      <c r="G30" s="223"/>
      <c r="H30" s="223"/>
      <c r="I30" s="222">
        <v>0</v>
      </c>
      <c r="J30" s="222">
        <v>-8891</v>
      </c>
      <c r="K30" s="223">
        <v>-8891</v>
      </c>
      <c r="L30" s="223"/>
      <c r="M30" s="223"/>
      <c r="N30" s="223"/>
      <c r="O30" s="222"/>
      <c r="P30" s="222">
        <v>-322259</v>
      </c>
      <c r="Q30" s="223">
        <v>-322259</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-606987</v>
      </c>
      <c r="AU30" s="226">
        <v>0</v>
      </c>
      <c r="AV30" s="226">
        <v>0</v>
      </c>
      <c r="AW30" s="303"/>
    </row>
    <row r="31" spans="1:49" x14ac:dyDescent="0.2">
      <c r="B31" s="248" t="s">
        <v>247</v>
      </c>
      <c r="C31" s="209"/>
      <c r="D31" s="222">
        <v>0</v>
      </c>
      <c r="E31" s="223">
        <v>0</v>
      </c>
      <c r="F31" s="223"/>
      <c r="G31" s="223"/>
      <c r="H31" s="223"/>
      <c r="I31" s="222">
        <v>0</v>
      </c>
      <c r="J31" s="222">
        <v>20</v>
      </c>
      <c r="K31" s="223">
        <v>20</v>
      </c>
      <c r="L31" s="223"/>
      <c r="M31" s="223"/>
      <c r="N31" s="223"/>
      <c r="O31" s="222"/>
      <c r="P31" s="222">
        <v>4084</v>
      </c>
      <c r="Q31" s="223">
        <v>4084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37930</v>
      </c>
      <c r="K34" s="223">
        <v>37930</v>
      </c>
      <c r="L34" s="223"/>
      <c r="M34" s="223"/>
      <c r="N34" s="223"/>
      <c r="O34" s="222"/>
      <c r="P34" s="222">
        <v>8119684</v>
      </c>
      <c r="Q34" s="223">
        <v>8119684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78</v>
      </c>
      <c r="K35" s="223">
        <v>78</v>
      </c>
      <c r="L35" s="223"/>
      <c r="M35" s="223"/>
      <c r="N35" s="223"/>
      <c r="O35" s="222"/>
      <c r="P35" s="222">
        <v>15723</v>
      </c>
      <c r="Q35" s="223">
        <v>15723</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6005</v>
      </c>
      <c r="K37" s="231">
        <v>6074</v>
      </c>
      <c r="L37" s="231"/>
      <c r="M37" s="231"/>
      <c r="N37" s="231"/>
      <c r="O37" s="230"/>
      <c r="P37" s="230">
        <v>1204076</v>
      </c>
      <c r="Q37" s="231">
        <v>1223489</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3560</v>
      </c>
      <c r="K38" s="223">
        <v>3562</v>
      </c>
      <c r="L38" s="223"/>
      <c r="M38" s="223"/>
      <c r="N38" s="223"/>
      <c r="O38" s="222"/>
      <c r="P38" s="222">
        <v>714011</v>
      </c>
      <c r="Q38" s="223">
        <v>716016</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850</v>
      </c>
      <c r="K39" s="223">
        <v>896</v>
      </c>
      <c r="L39" s="223"/>
      <c r="M39" s="223"/>
      <c r="N39" s="223"/>
      <c r="O39" s="222"/>
      <c r="P39" s="222">
        <v>170831</v>
      </c>
      <c r="Q39" s="223">
        <v>178614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1709</v>
      </c>
      <c r="K40" s="223">
        <v>1709</v>
      </c>
      <c r="L40" s="223"/>
      <c r="M40" s="223"/>
      <c r="N40" s="223"/>
      <c r="O40" s="222"/>
      <c r="P40" s="222">
        <v>342932</v>
      </c>
      <c r="Q40" s="223">
        <v>342717</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1388</v>
      </c>
      <c r="K41" s="223">
        <v>1388</v>
      </c>
      <c r="L41" s="223"/>
      <c r="M41" s="223"/>
      <c r="N41" s="223"/>
      <c r="O41" s="222"/>
      <c r="P41" s="222">
        <v>278681</v>
      </c>
      <c r="Q41" s="223">
        <v>279117</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54</v>
      </c>
      <c r="K42" s="223">
        <v>54</v>
      </c>
      <c r="L42" s="223"/>
      <c r="M42" s="223"/>
      <c r="N42" s="223"/>
      <c r="O42" s="222"/>
      <c r="P42" s="222">
        <v>10805</v>
      </c>
      <c r="Q42" s="223">
        <v>10805</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10370</v>
      </c>
      <c r="K44" s="231">
        <v>46066</v>
      </c>
      <c r="L44" s="231"/>
      <c r="M44" s="231"/>
      <c r="N44" s="231"/>
      <c r="O44" s="230"/>
      <c r="P44" s="230">
        <v>2078801</v>
      </c>
      <c r="Q44" s="231">
        <v>4042317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31723</v>
      </c>
      <c r="K45" s="223">
        <v>31723</v>
      </c>
      <c r="L45" s="223"/>
      <c r="M45" s="223"/>
      <c r="N45" s="223"/>
      <c r="O45" s="222"/>
      <c r="P45" s="222">
        <v>6358979</v>
      </c>
      <c r="Q45" s="223">
        <v>6358979</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7510</v>
      </c>
      <c r="K46" s="223">
        <v>7510</v>
      </c>
      <c r="L46" s="223"/>
      <c r="M46" s="223"/>
      <c r="N46" s="223"/>
      <c r="O46" s="222"/>
      <c r="P46" s="222">
        <v>1505465</v>
      </c>
      <c r="Q46" s="223">
        <v>1505465</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36302</v>
      </c>
      <c r="K47" s="223">
        <v>36302</v>
      </c>
      <c r="L47" s="223"/>
      <c r="M47" s="223"/>
      <c r="N47" s="223"/>
      <c r="O47" s="222"/>
      <c r="P47" s="222">
        <v>7333725</v>
      </c>
      <c r="Q47" s="223">
        <v>7333725</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54</v>
      </c>
      <c r="K49" s="223">
        <v>54</v>
      </c>
      <c r="L49" s="223"/>
      <c r="M49" s="223"/>
      <c r="N49" s="223"/>
      <c r="O49" s="222"/>
      <c r="P49" s="222">
        <v>10761</v>
      </c>
      <c r="Q49" s="223">
        <v>10761</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382</v>
      </c>
      <c r="K50" s="223">
        <v>382</v>
      </c>
      <c r="L50" s="223"/>
      <c r="M50" s="223"/>
      <c r="N50" s="223"/>
      <c r="O50" s="222"/>
      <c r="P50" s="222">
        <v>76501</v>
      </c>
      <c r="Q50" s="223">
        <v>76501</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234644</v>
      </c>
      <c r="K51" s="223">
        <v>234644</v>
      </c>
      <c r="L51" s="223"/>
      <c r="M51" s="223"/>
      <c r="N51" s="223"/>
      <c r="O51" s="222"/>
      <c r="P51" s="222">
        <v>47034921</v>
      </c>
      <c r="Q51" s="223">
        <v>47034921</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147</v>
      </c>
      <c r="K53" s="223">
        <v>147</v>
      </c>
      <c r="L53" s="223"/>
      <c r="M53" s="274"/>
      <c r="N53" s="274"/>
      <c r="O53" s="222">
        <v>0</v>
      </c>
      <c r="P53" s="222">
        <v>29420</v>
      </c>
      <c r="Q53" s="223">
        <v>29420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575</v>
      </c>
      <c r="K56" s="235">
        <v>575</v>
      </c>
      <c r="L56" s="235"/>
      <c r="M56" s="235"/>
      <c r="N56" s="235"/>
      <c r="O56" s="234"/>
      <c r="P56" s="234">
        <v>83199</v>
      </c>
      <c r="Q56" s="235">
        <v>83199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971</v>
      </c>
      <c r="K57" s="238">
        <v>971</v>
      </c>
      <c r="L57" s="238"/>
      <c r="M57" s="238"/>
      <c r="N57" s="238"/>
      <c r="O57" s="237"/>
      <c r="P57" s="237">
        <v>181369</v>
      </c>
      <c r="Q57" s="238">
        <v>181369</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4</v>
      </c>
      <c r="K58" s="238">
        <v>4</v>
      </c>
      <c r="L58" s="238"/>
      <c r="M58" s="238"/>
      <c r="N58" s="238"/>
      <c r="O58" s="237"/>
      <c r="P58" s="237">
        <v>234</v>
      </c>
      <c r="Q58" s="238">
        <v>234</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10861</v>
      </c>
      <c r="K59" s="238">
        <v>10861</v>
      </c>
      <c r="L59" s="238"/>
      <c r="M59" s="238"/>
      <c r="N59" s="238"/>
      <c r="O59" s="237"/>
      <c r="P59" s="237">
        <v>2177135</v>
      </c>
      <c r="Q59" s="238">
        <v>2177135</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905.08333333333337</v>
      </c>
      <c r="K60" s="241">
        <f>K$59/12</f>
        <v>905.08333333333337</v>
      </c>
      <c r="L60" s="241">
        <f>L$59/12</f>
        <v>0</v>
      </c>
      <c r="M60" s="241">
        <f>M$59/12</f>
        <v>0</v>
      </c>
      <c r="N60" s="241">
        <f>N$59/12</f>
        <v>0</v>
      </c>
      <c r="O60" s="240">
        <f>O$59/12</f>
        <v>0</v>
      </c>
      <c r="P60" s="240">
        <f>P$59/12</f>
        <v>181427.91666666666</v>
      </c>
      <c r="Q60" s="241">
        <f>Q$59/12</f>
        <v>181427.91666666666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2538394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5016572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-51779</v>
      </c>
      <c r="E5" s="332">
        <v>-931</v>
      </c>
      <c r="F5" s="332"/>
      <c r="G5" s="334"/>
      <c r="H5" s="334"/>
      <c r="I5" s="331">
        <v>0</v>
      </c>
      <c r="J5" s="331">
        <v>4709199</v>
      </c>
      <c r="K5" s="332">
        <v>4766202</v>
      </c>
      <c r="L5" s="332"/>
      <c r="M5" s="332"/>
      <c r="N5" s="332"/>
      <c r="O5" s="331"/>
      <c r="P5" s="331">
        <v>946083818</v>
      </c>
      <c r="Q5" s="332">
        <v>956150094</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1544</v>
      </c>
      <c r="K13" s="325">
        <v>1544</v>
      </c>
      <c r="L13" s="325"/>
      <c r="M13" s="325"/>
      <c r="N13" s="325"/>
      <c r="O13" s="324"/>
      <c r="P13" s="324">
        <v>69828</v>
      </c>
      <c r="Q13" s="325">
        <v>59113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-689176</v>
      </c>
      <c r="E23" s="368"/>
      <c r="F23" s="368"/>
      <c r="G23" s="368"/>
      <c r="H23" s="368"/>
      <c r="I23" s="370"/>
      <c r="J23" s="324">
        <v>4154997</v>
      </c>
      <c r="K23" s="368"/>
      <c r="L23" s="368"/>
      <c r="M23" s="368"/>
      <c r="N23" s="368"/>
      <c r="O23" s="370"/>
      <c r="P23" s="324">
        <v>874077545</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-672036</v>
      </c>
      <c r="F24" s="325"/>
      <c r="G24" s="325"/>
      <c r="H24" s="325"/>
      <c r="I24" s="324">
        <v>0</v>
      </c>
      <c r="J24" s="371"/>
      <c r="K24" s="325">
        <v>4218551</v>
      </c>
      <c r="L24" s="325"/>
      <c r="M24" s="325"/>
      <c r="N24" s="325"/>
      <c r="O24" s="324"/>
      <c r="P24" s="371"/>
      <c r="Q24" s="325">
        <v>857435972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303064</v>
      </c>
      <c r="K26" s="368"/>
      <c r="L26" s="368"/>
      <c r="M26" s="368"/>
      <c r="N26" s="368"/>
      <c r="O26" s="370"/>
      <c r="P26" s="324">
        <v>61225033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-1275</v>
      </c>
      <c r="F27" s="325"/>
      <c r="G27" s="325"/>
      <c r="H27" s="325"/>
      <c r="I27" s="324">
        <v>0</v>
      </c>
      <c r="J27" s="371"/>
      <c r="K27" s="325">
        <v>115894</v>
      </c>
      <c r="L27" s="325"/>
      <c r="M27" s="325"/>
      <c r="N27" s="325"/>
      <c r="O27" s="324"/>
      <c r="P27" s="371"/>
      <c r="Q27" s="325">
        <v>23289135</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71531</v>
      </c>
      <c r="E28" s="369"/>
      <c r="F28" s="369"/>
      <c r="G28" s="369"/>
      <c r="H28" s="369"/>
      <c r="I28" s="371"/>
      <c r="J28" s="324">
        <v>110772</v>
      </c>
      <c r="K28" s="369"/>
      <c r="L28" s="369"/>
      <c r="M28" s="369"/>
      <c r="N28" s="369"/>
      <c r="O28" s="371"/>
      <c r="P28" s="324">
        <v>66184480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701</v>
      </c>
      <c r="K34" s="368"/>
      <c r="L34" s="368"/>
      <c r="M34" s="368"/>
      <c r="N34" s="368"/>
      <c r="O34" s="370"/>
      <c r="P34" s="324">
        <v>141699</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701</v>
      </c>
      <c r="L35" s="325"/>
      <c r="M35" s="325"/>
      <c r="N35" s="325"/>
      <c r="O35" s="324"/>
      <c r="P35" s="371"/>
      <c r="Q35" s="325">
        <v>141699</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172</v>
      </c>
      <c r="E36" s="325">
        <v>172</v>
      </c>
      <c r="F36" s="325"/>
      <c r="G36" s="325"/>
      <c r="H36" s="325"/>
      <c r="I36" s="324">
        <v>0</v>
      </c>
      <c r="J36" s="324">
        <v>267</v>
      </c>
      <c r="K36" s="325">
        <v>267</v>
      </c>
      <c r="L36" s="325"/>
      <c r="M36" s="325"/>
      <c r="N36" s="325"/>
      <c r="O36" s="324"/>
      <c r="P36" s="324">
        <v>159411</v>
      </c>
      <c r="Q36" s="325">
        <v>159411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305618</v>
      </c>
      <c r="Q45" s="325">
        <v>305618</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9730964</v>
      </c>
      <c r="Q46" s="325">
        <v>4715851</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8073035</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-760879</v>
      </c>
      <c r="E54" s="329">
        <f>E24+E27+E31+E35-E36+E39+E42+E45+E46-E49+E51+E52+E53</f>
        <v>-673483</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4347723</v>
      </c>
      <c r="K54" s="329">
        <f>K24+K27+K31+K35-K36+K39+K42+K45+K46-K49+K51+K52+K53</f>
        <v>4334879</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871063933</v>
      </c>
      <c r="Q54" s="329">
        <f>Q24+Q27+Q31+Q35-Q36+Q39+Q42+Q45+Q46-Q49+Q51+Q52+Q53</f>
        <v>885728864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3646980</v>
      </c>
      <c r="D6" s="404">
        <v>1599196</v>
      </c>
      <c r="E6" s="406">
        <f>SUM('Pt 1 Summary of Data'!E$12,'Pt 1 Summary of Data'!E$22)+SUM('Pt 1 Summary of Data'!G$12,'Pt 1 Summary of Data'!G$22)-SUM('Pt 1 Summary of Data'!H$12,'Pt 1 Summary of Data'!H$22)</f>
        <v>-673483</v>
      </c>
      <c r="F6" s="406">
        <f>SUM(C6:E6)</f>
        <v>4572693</v>
      </c>
      <c r="G6" s="407">
        <f>SUM('Pt 1 Summary of Data'!I$12,'Pt 1 Summary of Data'!I$22)</f>
        <v>0</v>
      </c>
      <c r="H6" s="403">
        <v>1923594</v>
      </c>
      <c r="I6" s="404">
        <v>5602</v>
      </c>
      <c r="J6" s="406">
        <f>SUM('Pt 1 Summary of Data'!K$12,'Pt 1 Summary of Data'!K$22)+SUM('Pt 1 Summary of Data'!M$12,'Pt 1 Summary of Data'!M$22)-SUM('Pt 1 Summary of Data'!N$12,'Pt 1 Summary of Data'!N$22)</f>
        <v>4334879</v>
      </c>
      <c r="K6" s="406">
        <f>SUM(H6:J6)</f>
        <v>6264075</v>
      </c>
      <c r="L6" s="407">
        <f>SUM('Pt 1 Summary of Data'!O$12,'Pt 1 Summary of Data'!O$22)</f>
        <v>0</v>
      </c>
      <c r="M6" s="403">
        <v>870209022</v>
      </c>
      <c r="N6" s="404">
        <v>810337138</v>
      </c>
      <c r="O6" s="406">
        <f>SUM('Pt 1 Summary of Data'!Q$12,'Pt 1 Summary of Data'!Q$22)+SUM('Pt 1 Summary of Data'!S$12,'Pt 1 Summary of Data'!S$22)-SUM('Pt 1 Summary of Data'!T$12,'Pt 1 Summary of Data'!T$22)</f>
        <v>885728864</v>
      </c>
      <c r="P6" s="406">
        <f>SUM(M6:O6)</f>
        <v>2566275024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4454</v>
      </c>
      <c r="D7" s="404">
        <v>330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4784</v>
      </c>
      <c r="G7" s="407">
        <f>SUM('Pt 1 Summary of Data'!I$37:I$41)+MAX(0,MIN(VALUE('Pt 1 Summary of Data'!I$42),0.3%*('Pt 1 Summary of Data'!I$5-SUM(G$9:G$10))))</f>
        <v>0</v>
      </c>
      <c r="H7" s="403">
        <v>7528</v>
      </c>
      <c r="I7" s="404">
        <v>928</v>
      </c>
      <c r="J7" s="406">
        <f>SUM('Pt 1 Summary of Data'!K$37:K$41)+SUM('Pt 1 Summary of Data'!M$37:M$41)-SUM('Pt 1 Summary of Data'!N$37:N$41)+MAX(0,MIN('Pt 1 Summary of Data'!K$42+'Pt 1 Summary of Data'!M$42-'Pt 1 Summary of Data'!N$42,0.3%*('Pt 1 Summary of Data'!K$5+'Pt 1 Summary of Data'!M$5-'Pt 1 Summary of Data'!N$5-SUM(J$10:J$11))))</f>
        <v>13683</v>
      </c>
      <c r="K7" s="406">
        <f>SUM(H7:J7)</f>
        <v>22139</v>
      </c>
      <c r="L7" s="407">
        <f>SUM('Pt 1 Summary of Data'!O$37:O$41)+MAX(0,MIN(VALUE('Pt 1 Summary of Data'!O$42),0.3%*('Pt 1 Summary of Data'!O$5-L$10)))</f>
        <v>0</v>
      </c>
      <c r="M7" s="403">
        <v>1164410</v>
      </c>
      <c r="N7" s="404">
        <v>1752979</v>
      </c>
      <c r="O7" s="406">
        <f>SUM('Pt 1 Summary of Data'!Q$37:Q$41)+SUM('Pt 1 Summary of Data'!S$37:S$41)-SUM('Pt 1 Summary of Data'!T$37:T$41)+MAX(0,MIN('Pt 1 Summary of Data'!Q$42+'Pt 1 Summary of Data'!S$42-'Pt 1 Summary of Data'!T$42,0.3%*('Pt 1 Summary of Data'!Q$5+'Pt 1 Summary of Data'!S$5-'Pt 1 Summary of Data'!T$5)))</f>
        <v>2750758</v>
      </c>
      <c r="P7" s="406">
        <f>SUM(M7:O7)</f>
        <v>5668147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3651434</v>
      </c>
      <c r="D12" s="406">
        <f>SUM(D$6:D$7) - SUM(D$8:D$11)+IF(AND(OR('Company Information'!$C$12="District of Columbia",'Company Information'!$C$12="Massachusetts",'Company Information'!$C$12="Vermont"),SUM($C$6:$F$11,$C$15:$F$16,$C$38:$D$38)&lt;&gt;0),SUM(I$6:I$7) - SUM(I$10:I$11),0)</f>
        <v>1599526</v>
      </c>
      <c r="E12" s="406">
        <f>SUM(E$6:E$7)-SUM(E$8:E$11)+IF(AND(OR('Company Information'!$C$12="District of Columbia",'Company Information'!$C$12="Massachusetts",'Company Information'!$C$12="Vermont"),SUM($C$6:$F$11,$C$15:$F$16,$C$38:$D$38)&lt;&gt;0),SUM(J$6:J$7)-SUM(J$10:J$11),0)</f>
        <v>-673483</v>
      </c>
      <c r="F12" s="406">
        <f>IFERROR(SUM(C$12:E$12)+C$17*MAX(0,E$50-C$50)+D$17*MAX(0,E$50-D$50),0)</f>
        <v>4577477</v>
      </c>
      <c r="G12" s="453"/>
      <c r="H12" s="405">
        <f>SUM(H$6:H$7)+IF(AND(OR('Company Information'!$C$12="District of Columbia",'Company Information'!$C$12="Massachusetts",'Company Information'!$C$12="Vermont"),SUM($H$6:$K$11,$H$15:$K$16,$H$38:$I$38)&lt;&gt;0),SUM(C$6:C$7),0)</f>
        <v>1931122</v>
      </c>
      <c r="I12" s="406">
        <f>SUM(I$6:I$7) - SUM(I$10:I$11)+IF(AND(OR('Company Information'!$C$12="District of Columbia",'Company Information'!$C$12="Massachusetts",'Company Information'!$C$12="Vermont"),SUM($H$6:$K$11,$H$15:$K$16,$H$38:$I$38)&lt;&gt;0),SUM(D$6:D$7) - SUM(D$8:D$11),0)</f>
        <v>6530</v>
      </c>
      <c r="J12" s="406">
        <f>SUM(J$6:J$7)-SUM(J$10:J$11)+IF(AND(OR('Company Information'!$C$12="District of Columbia",'Company Information'!$C$12="Massachusetts",'Company Information'!$C$12="Vermont"),SUM($H$6:$K$11,$H$15:$K$16,$H$38:$I$38)&lt;&gt;0),SUM(E$6:E$7)-SUM(E$8:E$11),0)</f>
        <v>4348562</v>
      </c>
      <c r="K12" s="406">
        <f>IFERROR(SUM(H$12:J$12)+H$17*MAX(0,J$50-H$50)+I$17*MAX(0,J$50-I$50),0)</f>
        <v>6286214</v>
      </c>
      <c r="L12" s="453"/>
      <c r="M12" s="405">
        <f>SUM(M$6:M$7)</f>
        <v>871373432</v>
      </c>
      <c r="N12" s="406">
        <f>SUM(N$6:N$7)</f>
        <v>812090117</v>
      </c>
      <c r="O12" s="406">
        <f>SUM(O$6:O$7)</f>
        <v>888479622</v>
      </c>
      <c r="P12" s="406">
        <f>SUM(M$12:O$12)+M$17*MAX(0,O$50-M$50)+N$17*MAX(0,O$50-N$50)</f>
        <v>2571943171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2179691</v>
      </c>
      <c r="D15" s="409">
        <v>286030</v>
      </c>
      <c r="E15" s="401">
        <f>SUM('Pt 1 Summary of Data'!E$5:E$7)+SUM('Pt 1 Summary of Data'!G$5:G$7)-SUM('Pt 1 Summary of Data'!H$5:H$7)-SUM(E$9:E$11)</f>
        <v>-931</v>
      </c>
      <c r="F15" s="401">
        <f>SUM(C15:E15)</f>
        <v>2464790</v>
      </c>
      <c r="G15" s="402">
        <f>SUM('Pt 1 Summary of Data'!I$5:I$7)-SUM(G$9:G$10)</f>
        <v>0</v>
      </c>
      <c r="H15" s="408">
        <v>1590559</v>
      </c>
      <c r="I15" s="409">
        <v>456412</v>
      </c>
      <c r="J15" s="401">
        <f>SUM('Pt 1 Summary of Data'!K$5:K$7)+SUM('Pt 1 Summary of Data'!M$5:M$7)-SUM('Pt 1 Summary of Data'!N$5:N$7)-SUM(J$10:J$11)</f>
        <v>4764667</v>
      </c>
      <c r="K15" s="401">
        <f>SUM(H15:J15)</f>
        <v>6811638</v>
      </c>
      <c r="L15" s="402">
        <f>SUM('Pt 1 Summary of Data'!O$5:O$7)-L$10</f>
        <v>0</v>
      </c>
      <c r="M15" s="408">
        <v>883131667</v>
      </c>
      <c r="N15" s="409">
        <v>965381568</v>
      </c>
      <c r="O15" s="401">
        <f>SUM('Pt 1 Summary of Data'!Q$5:Q$7)+SUM('Pt 1 Summary of Data'!S$5:S$7)-SUM('Pt 1 Summary of Data'!T$5:T$7)+N$56</f>
        <v>956092738</v>
      </c>
      <c r="P15" s="401">
        <f>SUM(M15:O15)</f>
        <v>2804605973</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-651833</v>
      </c>
      <c r="D16" s="404">
        <v>-835279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57142</v>
      </c>
      <c r="F16" s="406">
        <f>SUM(C16:E16)</f>
        <v>-1429970</v>
      </c>
      <c r="G16" s="407">
        <f>SUM('Pt 1 Summary of Data'!I$25:I$28,'Pt 1 Summary of Data'!I$30,'Pt 1 Summary of Data'!I$34:I$35)+IF('Company Information'!$C$15="No",IF(MAX('Pt 1 Summary of Data'!I$31:I$32)=0,MIN('Pt 1 Summary of Data'!I$31:I$32),MAX('Pt 1 Summary of Data'!I$31:I$32)),SUM('Pt 1 Summary of Data'!I$31:I$32))</f>
        <v>0</v>
      </c>
      <c r="H16" s="403">
        <v>-339650</v>
      </c>
      <c r="I16" s="404">
        <v>2025</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82794</v>
      </c>
      <c r="K16" s="406">
        <f>SUM(H16:J16)</f>
        <v>-254831</v>
      </c>
      <c r="L16" s="407">
        <f>SUM('Pt 1 Summary of Data'!O$25:O$28,'Pt 1 Summary of Data'!O$30,'Pt 1 Summary of Data'!O$34:O$35)+IF('Company Information'!$C$15="No",IF(MAX('Pt 1 Summary of Data'!O$31:O$32)=0,MIN('Pt 1 Summary of Data'!O$31:O$32),MAX('Pt 1 Summary of Data'!O$31:O$32)),SUM('Pt 1 Summary of Data'!O$31:O$32))</f>
        <v>0</v>
      </c>
      <c r="M16" s="403">
        <v>6049769</v>
      </c>
      <c r="N16" s="404">
        <v>40735560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25212769</v>
      </c>
      <c r="P16" s="406">
        <f>SUM(M16:O16)</f>
        <v>71998098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2831524</v>
      </c>
      <c r="D17" s="406">
        <f>D$15-D$16+IF(AND(OR('Company Information'!$C$12="District of Columbia",'Company Information'!$C$12="Massachusetts",'Company Information'!$C$12="Vermont"),SUM($C$6:$F$11,$C$15:$F$16,$C$38:$D$38)&lt;&gt;0),I$15-I$16,0)</f>
        <v>1121309</v>
      </c>
      <c r="E17" s="406">
        <f>E$15-E$16+IF(AND(OR('Company Information'!$C$12="District of Columbia",'Company Information'!$C$12="Massachusetts",'Company Information'!$C$12="Vermont"),SUM($C$6:$F$11,$C$15:$F$16,$C$38:$D$38)&lt;&gt;0),J$15-J$16,0)</f>
        <v>-58073</v>
      </c>
      <c r="F17" s="406">
        <f>F$15-F$16+IF(AND(OR('Company Information'!$C$12="District of Columbia",'Company Information'!$C$12="Massachusetts",'Company Information'!$C$12="Vermont"),SUM($C$6:$F$11,$C$15:$F$16,$C$38:$D$38)&lt;&gt;0),K$15-K$16,0)</f>
        <v>3894760</v>
      </c>
      <c r="G17" s="456"/>
      <c r="H17" s="405">
        <f>H$15-H$16+IF(AND(OR('Company Information'!$C$12="District of Columbia",'Company Information'!$C$12="Massachusetts",'Company Information'!$C$12="Vermont"),SUM($H$6:$K$11,$H$15:$K$16,$H$38:$I$38)&lt;&gt;0),C$15-C$16,0)</f>
        <v>1930209</v>
      </c>
      <c r="I17" s="406">
        <f>I$15-I$16+IF(AND(OR('Company Information'!$C$12="District of Columbia",'Company Information'!$C$12="Massachusetts",'Company Information'!$C$12="Vermont"),SUM($H$6:$K$11,$H$15:$K$16,$H$38:$I$38)&lt;&gt;0),D$15-D$16,0)</f>
        <v>454387</v>
      </c>
      <c r="J17" s="406">
        <f>J$15-J$16+IF(AND(OR('Company Information'!$C$12="District of Columbia",'Company Information'!$C$12="Massachusetts",'Company Information'!$C$12="Vermont"),SUM($H$6:$K$11,$H$15:$K$16,$H$38:$I$38)&lt;&gt;0),E$15-E$16,0)</f>
        <v>4681873</v>
      </c>
      <c r="K17" s="406">
        <f>K$15-K$16+IF(AND(OR('Company Information'!$C$12="District of Columbia",'Company Information'!$C$12="Massachusetts",'Company Information'!$C$12="Vermont"),SUM($H$6:$K$11,$H$15:$K$16,$H$38:$I$38)&lt;&gt;0),F$15-F$16,0)</f>
        <v>7066469</v>
      </c>
      <c r="L17" s="456"/>
      <c r="M17" s="405">
        <f>M$15-M$16</f>
        <v>877081898</v>
      </c>
      <c r="N17" s="406">
        <f>N$15-N$16</f>
        <v>924646008</v>
      </c>
      <c r="O17" s="406">
        <f>O$15-O$16</f>
        <v>930879969</v>
      </c>
      <c r="P17" s="406">
        <f>P$15-P$16</f>
        <v>2732607875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150</v>
      </c>
      <c r="D38" s="411">
        <v>34</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184</v>
      </c>
      <c r="G38" s="454"/>
      <c r="H38" s="410">
        <v>291</v>
      </c>
      <c r="I38" s="411">
        <v>89</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905.08333333333337</v>
      </c>
      <c r="K38" s="438">
        <f>SUM(H$38:J$38)+IF(AND(OR('Company Information'!$C$12="District of Columbia",'Company Information'!$C$12="Massachusetts",'Company Information'!$C$12="Vermont"),SUM($H$6:$K$11,$H$15:$K$16,$H$38:$I$38)&lt;&gt;0,SUM(H$38:I$38)&lt;&gt;SUM(C$38:D$38)),SUM(C$38:D$38),0)</f>
        <v>1285.0833333333335</v>
      </c>
      <c r="L38" s="454"/>
      <c r="M38" s="410">
        <v>200696</v>
      </c>
      <c r="N38" s="411">
        <v>188401</v>
      </c>
      <c r="O38" s="438">
        <f>('Pt 1 Summary of Data'!Q$59+'Pt 1 Summary of Data'!S$59-'Pt 1 Summary of Data'!T$59)/12</f>
        <v>181427.91666666666</v>
      </c>
      <c r="P38" s="438">
        <f>SUM(M$38:O$38)</f>
        <v>570524.91666666663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7.7108277777777776E-2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 ca="1">IF(OR(K$38&lt;1000,K$38&gt;=75000),0,K$39*K$41)</f>
        <v>7.7108277777777776E-2</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f>IF(OR(K$38&lt;1000,K$17&lt;=0),"",K$12/K$17)</f>
        <v>0.88958346806587563</v>
      </c>
      <c r="L45" s="453"/>
      <c r="M45" s="444">
        <f>IF(OR(M$38&lt;1000,M$17&lt;=0),"",M$12/M$17)</f>
        <v>0.99349152455088063</v>
      </c>
      <c r="N45" s="442">
        <f>IF(OR(N$38&lt;1000,N$17&lt;=0),"",N$12/N$17)</f>
        <v>0.87827137085309304</v>
      </c>
      <c r="O45" s="442">
        <f>IF(OR(O$38&lt;1000,O$17&lt;=0),"",O$12/O$17)</f>
        <v>0.95445132733326654</v>
      </c>
      <c r="P45" s="442">
        <f>IF(OR(P$38&lt;1000,P$17&lt;=0),"",P$12/P$17)</f>
        <v>0.94120462527028326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f ca="1">IF(K$45="","",K$42)</f>
        <v>7.7108277777777776E-2</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f ca="1">IF(K$45="","",ROUND(K$45+MAX(0,K$47),3))</f>
        <v>0.96699999999999997</v>
      </c>
      <c r="L48" s="453"/>
      <c r="M48" s="449"/>
      <c r="N48" s="447"/>
      <c r="O48" s="447"/>
      <c r="P48" s="442">
        <f>IF(P$45="","",ROUND(P$45+MAX(0,P$47),3))</f>
        <v>0.94099999999999995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f ca="1">K$48</f>
        <v>0.96699999999999997</v>
      </c>
      <c r="L51" s="453"/>
      <c r="M51" s="450"/>
      <c r="N51" s="448"/>
      <c r="O51" s="448"/>
      <c r="P51" s="442">
        <f>P$48</f>
        <v>0.94099999999999995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f>IF(K$38&lt;1000,"",MAX(0,J$15-J$16))</f>
        <v>4681873</v>
      </c>
      <c r="L52" s="453"/>
      <c r="M52" s="449"/>
      <c r="N52" s="447"/>
      <c r="O52" s="447"/>
      <c r="P52" s="406">
        <f>IF(P$38&lt;1000,"",MAX(0,O$15-O$16))</f>
        <v>930879969</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 ca="1">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5848</v>
      </c>
      <c r="I56" s="447"/>
      <c r="J56" s="447"/>
      <c r="K56" s="447"/>
      <c r="L56" s="453"/>
      <c r="M56" s="403">
        <v>1263581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1640</v>
      </c>
      <c r="I57" s="447"/>
      <c r="J57" s="447"/>
      <c r="K57" s="447"/>
      <c r="L57" s="453"/>
      <c r="M57" s="403">
        <v>-368000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575</v>
      </c>
      <c r="E4" s="110">
        <f>'Pt 1 Summary of Data'!$Q$56+'Pt 1 Summary of Data'!$S$56-'Pt 1 Summary of Data'!$T$56</f>
        <v>83199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 ca="1">'Pt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506</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2016-07-25T22:38:17Z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