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AB6" i="10" s="1"/>
  <c r="Z17" i="10"/>
  <c r="Z13" i="10"/>
  <c r="Y17" i="10"/>
  <c r="Y13" i="10"/>
  <c r="W16" i="10"/>
  <c r="X16" i="10" s="1"/>
  <c r="S16" i="10"/>
  <c r="T16" i="10" s="1"/>
  <c r="S6" i="10"/>
  <c r="O16" i="10"/>
  <c r="P16" i="10" s="1"/>
  <c r="N17" i="10"/>
  <c r="N12" i="10"/>
  <c r="M17" i="10"/>
  <c r="M12" i="10"/>
  <c r="L60" i="10"/>
  <c r="L59" i="10"/>
  <c r="L58" i="10"/>
  <c r="L36" i="10"/>
  <c r="L35" i="10"/>
  <c r="L16" i="10"/>
  <c r="L10" i="10"/>
  <c r="J16" i="10"/>
  <c r="K16" i="10" s="1"/>
  <c r="J11" i="10"/>
  <c r="K11" i="10" s="1"/>
  <c r="J10" i="10"/>
  <c r="K10" i="10" s="1"/>
  <c r="G60" i="10"/>
  <c r="G59" i="10"/>
  <c r="G36" i="10"/>
  <c r="G35" i="10"/>
  <c r="G16" i="10"/>
  <c r="G10" i="10"/>
  <c r="G9" i="10"/>
  <c r="G8" i="10"/>
  <c r="F16" i="10"/>
  <c r="F11" i="10"/>
  <c r="F10" i="10"/>
  <c r="E16" i="10"/>
  <c r="E11" i="10"/>
  <c r="E10" i="10"/>
  <c r="E9" i="10"/>
  <c r="F9" i="10" s="1"/>
  <c r="E8" i="10"/>
  <c r="F8" i="10" s="1"/>
  <c r="AU55" i="18"/>
  <c r="AU22" i="4" s="1"/>
  <c r="AU54" i="18"/>
  <c r="AU12" i="4" s="1"/>
  <c r="AT55" i="18"/>
  <c r="AT54" i="18"/>
  <c r="AS55" i="18"/>
  <c r="AS22" i="4" s="1"/>
  <c r="AS54" i="18"/>
  <c r="AS12" i="4" s="1"/>
  <c r="AR55" i="18"/>
  <c r="AR54" i="18"/>
  <c r="AQ55" i="18"/>
  <c r="AQ22" i="4" s="1"/>
  <c r="AQ54" i="18"/>
  <c r="AQ12" i="4" s="1"/>
  <c r="AP55" i="18"/>
  <c r="AP54" i="18"/>
  <c r="AO55" i="18"/>
  <c r="AO22" i="4" s="1"/>
  <c r="AO54" i="18"/>
  <c r="AO12" i="4" s="1"/>
  <c r="AN55" i="18"/>
  <c r="AN54" i="18"/>
  <c r="AI55" i="18"/>
  <c r="AI22" i="4" s="1"/>
  <c r="AI54" i="18"/>
  <c r="AI12" i="4" s="1"/>
  <c r="AD55" i="18"/>
  <c r="AD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F6" i="10" s="1"/>
  <c r="D55" i="18"/>
  <c r="D54" i="18"/>
  <c r="AV60" i="4"/>
  <c r="AU60" i="4"/>
  <c r="AU5" i="4"/>
  <c r="AT60" i="4"/>
  <c r="AT22" i="4"/>
  <c r="AT12" i="4"/>
  <c r="AT5" i="4"/>
  <c r="AS60" i="4"/>
  <c r="AS5" i="4"/>
  <c r="AR60" i="4"/>
  <c r="AR22" i="4"/>
  <c r="AR12" i="4"/>
  <c r="AR5" i="4"/>
  <c r="AQ60" i="4"/>
  <c r="AQ5" i="4"/>
  <c r="AP60" i="4"/>
  <c r="AP22" i="4"/>
  <c r="AP12" i="4"/>
  <c r="AP5" i="4"/>
  <c r="AO60" i="4"/>
  <c r="AO5" i="4"/>
  <c r="AN60" i="4"/>
  <c r="AN22" i="4"/>
  <c r="AN12" i="4"/>
  <c r="AN5" i="4"/>
  <c r="AI60" i="4"/>
  <c r="AI5" i="4"/>
  <c r="AD60" i="4"/>
  <c r="AD22" i="4"/>
  <c r="AD12" i="4"/>
  <c r="AD5" i="4"/>
  <c r="AC60" i="4"/>
  <c r="AC5" i="4"/>
  <c r="AB60" i="4"/>
  <c r="AB22" i="4"/>
  <c r="AB12" i="4"/>
  <c r="AB5" i="4"/>
  <c r="AA15" i="10" s="1"/>
  <c r="AA60" i="4"/>
  <c r="AA5" i="4"/>
  <c r="Z60" i="4"/>
  <c r="Z22" i="4"/>
  <c r="Z12" i="4"/>
  <c r="Z5" i="4"/>
  <c r="Y60" i="4"/>
  <c r="Y5" i="4"/>
  <c r="W15" i="10" s="1"/>
  <c r="X60" i="4"/>
  <c r="X22" i="4"/>
  <c r="X12" i="4"/>
  <c r="X5" i="4"/>
  <c r="W60" i="4"/>
  <c r="W5" i="4"/>
  <c r="V60" i="4"/>
  <c r="V22" i="4"/>
  <c r="V12" i="4"/>
  <c r="V5" i="4"/>
  <c r="S15"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T15" i="10" l="1"/>
  <c r="G20" i="10"/>
  <c r="K6" i="10"/>
  <c r="H17" i="10" s="1"/>
  <c r="P6" i="10"/>
  <c r="V17" i="10"/>
  <c r="X6" i="10"/>
  <c r="U17" i="10"/>
  <c r="X13" i="10" s="1"/>
  <c r="G58" i="10"/>
  <c r="G23" i="10"/>
  <c r="G27" i="10"/>
  <c r="P15" i="10"/>
  <c r="P17" i="10" s="1"/>
  <c r="O17" i="10"/>
  <c r="X15" i="10"/>
  <c r="X17" i="10" s="1"/>
  <c r="W17" i="10"/>
  <c r="AB15" i="10"/>
  <c r="AB17" i="10" s="1"/>
  <c r="AA17" i="10"/>
  <c r="K15" i="10"/>
  <c r="L20" i="10"/>
  <c r="R17" i="10"/>
  <c r="E15" i="10"/>
  <c r="L15" i="10"/>
  <c r="L19" i="10" s="1"/>
  <c r="AA7" i="10"/>
  <c r="AB7" i="10" s="1"/>
  <c r="AB13" i="10" s="1"/>
  <c r="R13" i="10"/>
  <c r="T6" i="10"/>
  <c r="AA13" i="10"/>
  <c r="O7" i="10"/>
  <c r="P7" i="10" s="1"/>
  <c r="S7" i="10"/>
  <c r="T7" i="10" s="1"/>
  <c r="S17" i="10" s="1"/>
  <c r="W7" i="10"/>
  <c r="X7" i="10" s="1"/>
  <c r="G7" i="10"/>
  <c r="G32" i="10" s="1"/>
  <c r="J7" i="10"/>
  <c r="K7" i="10" s="1"/>
  <c r="D17" i="10" l="1"/>
  <c r="I12" i="10"/>
  <c r="J12" i="10"/>
  <c r="C12" i="10"/>
  <c r="K17" i="10"/>
  <c r="G24" i="10"/>
  <c r="V13" i="10"/>
  <c r="O12" i="10"/>
  <c r="P12" i="10" s="1"/>
  <c r="Q13" i="10"/>
  <c r="Q17" i="10"/>
  <c r="T13" i="10" s="1"/>
  <c r="G19" i="10"/>
  <c r="G22" i="10" s="1"/>
  <c r="W13" i="10"/>
  <c r="I17" i="10"/>
  <c r="K12" i="10" s="1"/>
  <c r="T17" i="10"/>
  <c r="F15" i="10"/>
  <c r="F17" i="10" s="1"/>
  <c r="E17" i="10"/>
  <c r="J17" i="10"/>
  <c r="S13" i="10"/>
  <c r="L27" i="10"/>
  <c r="L23" i="10"/>
  <c r="L32" i="10"/>
  <c r="L24" i="10"/>
  <c r="L22" i="10"/>
  <c r="D12" i="10"/>
  <c r="C17" i="10"/>
  <c r="F12" i="10" s="1"/>
  <c r="U13" i="10"/>
  <c r="H12" i="10"/>
  <c r="E12" i="10"/>
  <c r="G21" i="10" l="1"/>
  <c r="G26" i="10" s="1"/>
  <c r="G25" i="10" s="1"/>
  <c r="G28" i="10" s="1"/>
  <c r="G30" i="10"/>
  <c r="G31" i="10" s="1"/>
  <c r="G29" i="10" s="1"/>
  <c r="G33" i="10" s="1"/>
  <c r="G34" i="10" s="1"/>
  <c r="L21" i="10"/>
  <c r="L26" i="10" s="1"/>
  <c r="L25" i="10" s="1"/>
  <c r="L28" i="10" s="1"/>
  <c r="L30" i="10"/>
  <c r="L31" i="10" s="1"/>
  <c r="L29" i="10" s="1"/>
  <c r="L33" i="10" s="1"/>
  <c r="L34" i="10" s="1"/>
</calcChain>
</file>

<file path=xl/sharedStrings.xml><?xml version="1.0" encoding="utf-8"?>
<sst xmlns="http://schemas.openxmlformats.org/spreadsheetml/2006/main" count="718" uniqueCount="570">
  <si>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</si>
  <si>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</si>
  <si>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</si>
  <si>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</si>
  <si>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</si>
  <si>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</si>
  <si>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</si>
  <si>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</si>
  <si>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</si>
  <si>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</si>
  <si>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</si>
  <si>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</si>
  <si>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</si>
  <si>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</si>
  <si>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</si>
  <si>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</si>
  <si>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</si>
  <si>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</si>
  <si>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</si>
  <si>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</si>
  <si>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</si>
  <si>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</si>
  <si>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</si>
  <si>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</si>
  <si>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</si>
  <si>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</si>
  <si>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</si>
  <si>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</si>
  <si>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</si>
  <si>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</si>
  <si>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</si>
  <si>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</si>
  <si>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</si>
  <si>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</si>
  <si>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</si>
  <si>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</si>
  <si>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</si>
  <si>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</si>
  <si>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</si>
  <si>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</si>
  <si>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</si>
  <si>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</si>
  <si>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</si>
  <si>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</si>
  <si>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</si>
  <si>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</si>
  <si>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</si>
  <si>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</si>
  <si>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</si>
  <si>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</si>
  <si>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</si>
  <si>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</si>
  <si>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</si>
  <si>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</si>
  <si>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</si>
  <si>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</si>
  <si>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</si>
  <si>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</si>
  <si>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</si>
  <si>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</si>
  <si>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</si>
  <si>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</si>
  <si>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</si>
  <si>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</si>
  <si>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</si>
  <si>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</si>
  <si>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</si>
  <si>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</si>
  <si>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</si>
  <si>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</si>
  <si>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</si>
  <si>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</si>
  <si>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</si>
  <si>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</si>
  <si>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</si>
  <si>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</si>
  <si>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</si>
  <si>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</si>
  <si>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</si>
  <si>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</si>
  <si>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</si>
  <si>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</si>
  <si>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</si>
  <si>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</si>
  <si>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</si>
  <si>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</si>
  <si>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</si>
  <si>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</si>
  <si>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</si>
  <si>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</si>
  <si>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</si>
  <si>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</si>
  <si>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</si>
  <si>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</si>
  <si>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</si>
  <si>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</si>
  <si>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</si>
  <si>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</si>
  <si>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</si>
  <si>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</si>
  <si>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</si>
  <si>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</si>
  <si>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</si>
  <si>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</si>
  <si>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</si>
  <si>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</si>
  <si>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</si>
  <si>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</si>
  <si>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</si>
  <si>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</si>
  <si>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</si>
  <si>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</si>
  <si>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</si>
  <si>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</si>
  <si>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</si>
  <si>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</si>
  <si>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</si>
  <si>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</si>
  <si>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</si>
  <si>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</si>
  <si>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</si>
  <si>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</si>
  <si>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</si>
  <si>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</si>
  <si>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</si>
  <si>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</si>
  <si>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</si>
  <si>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</si>
  <si>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</si>
  <si>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</si>
  <si>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</si>
  <si>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</si>
  <si>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</si>
  <si>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</si>
  <si>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</si>
  <si>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</si>
  <si>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</si>
  <si>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</si>
  <si>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</si>
  <si>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</si>
  <si>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</si>
  <si>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</si>
  <si>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</si>
  <si>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</si>
  <si>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</si>
  <si>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</si>
  <si>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</si>
  <si>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</si>
  <si>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</si>
  <si>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</si>
  <si>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</si>
  <si>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</si>
  <si>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</si>
  <si>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</si>
  <si>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</si>
  <si>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</si>
  <si>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</si>
  <si>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</si>
  <si>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</si>
  <si>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</si>
  <si>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</si>
  <si>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</si>
  <si>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</si>
  <si>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</si>
  <si>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</si>
  <si>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</si>
  <si>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</si>
  <si>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</si>
  <si>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</si>
  <si>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</si>
  <si>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</si>
  <si>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</si>
  <si>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</si>
  <si>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</si>
  <si>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</si>
  <si>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</si>
  <si>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</si>
  <si>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</si>
  <si>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</si>
  <si>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</si>
  <si>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</si>
  <si>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</si>
  <si>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</si>
  <si>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</si>
  <si>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</si>
  <si>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</si>
  <si>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</si>
  <si>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</si>
  <si>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</si>
  <si>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</si>
  <si>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</si>
  <si>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</si>
  <si>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</si>
  <si>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</si>
  <si>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</si>
  <si>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</si>
  <si>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</si>
  <si>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</si>
  <si>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</si>
  <si>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</si>
  <si>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</si>
  <si>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</si>
  <si>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</si>
  <si>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</si>
  <si>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</si>
  <si>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</si>
  <si>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</si>
  <si>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</si>
  <si>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</si>
  <si>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</si>
  <si>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</si>
  <si>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</si>
  <si>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</si>
  <si>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</si>
  <si>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</si>
  <si>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</si>
  <si>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</si>
  <si>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</si>
  <si>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</si>
  <si>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</si>
  <si>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</si>
  <si>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</si>
  <si>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</si>
  <si>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</si>
  <si>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</si>
  <si>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</si>
  <si>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</si>
  <si>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</si>
  <si>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</si>
  <si>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</si>
  <si>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</si>
  <si>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</si>
  <si>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</si>
  <si>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</si>
  <si>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</si>
  <si>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</si>
  <si>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</si>
  <si>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</si>
  <si>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</si>
  <si>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</si>
  <si>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</si>
  <si>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</si>
  <si>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</si>
  <si>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</si>
  <si>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</si>
  <si>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</si>
  <si>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</si>
  <si>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</si>
  <si>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</si>
  <si>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</si>
  <si>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</si>
  <si>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</si>
  <si>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</si>
  <si>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</si>
  <si>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</si>
  <si>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</si>
  <si>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</si>
  <si>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</si>
  <si>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</si>
  <si>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</si>
  <si>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</si>
  <si>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</si>
  <si>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</si>
  <si>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</si>
  <si>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</si>
  <si>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</si>
  <si>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</si>
  <si>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</si>
  <si>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</si>
  <si>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</si>
  <si>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</si>
  <si>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</si>
  <si>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</si>
  <si>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</si>
  <si>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</si>
  <si>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</si>
  <si>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</si>
  <si>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</si>
  <si>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</si>
  <si>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</si>
  <si>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</si>
  <si>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</si>
  <si>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</si>
  <si>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</si>
  <si>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</si>
  <si>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</si>
  <si>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</si>
  <si>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</si>
  <si>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</si>
  <si>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</si>
  <si>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</si>
  <si>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</si>
  <si>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</si>
  <si>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</si>
  <si>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</si>
  <si>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</si>
  <si>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</si>
  <si>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</si>
  <si>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</si>
  <si>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</si>
  <si>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</si>
  <si>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</si>
  <si>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</si>
  <si>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</si>
  <si>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</si>
  <si>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</si>
  <si>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</si>
  <si>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</si>
  <si>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</si>
  <si>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</si>
  <si>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</si>
  <si>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</si>
  <si>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</si>
  <si>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</si>
  <si>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</si>
  <si>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</si>
  <si>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</si>
  <si>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</si>
  <si>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</si>
  <si>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</si>
  <si>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</si>
  <si>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</si>
  <si>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</si>
  <si>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</si>
  <si>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</si>
  <si>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</si>
  <si>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</si>
  <si>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</si>
  <si>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</si>
  <si>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</si>
  <si>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</si>
  <si>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</si>
  <si>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</si>
  <si>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</si>
  <si>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</si>
  <si>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</si>
  <si>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</si>
  <si>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</si>
  <si>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</si>
  <si>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</si>
  <si>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</si>
  <si>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</si>
  <si>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</si>
  <si>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</si>
  <si>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</si>
  <si>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</si>
  <si>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</si>
  <si>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</si>
  <si>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</si>
  <si>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</si>
  <si>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</si>
  <si>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</si>
  <si>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</si>
  <si>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</si>
  <si>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</si>
  <si>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</si>
  <si>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</si>
  <si>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</si>
  <si>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</si>
  <si>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</si>
  <si>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</si>
  <si>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</si>
  <si>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</si>
  <si>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</si>
  <si>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</si>
  <si>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</si>
  <si>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</si>
  <si>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</si>
  <si>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</si>
  <si>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</si>
  <si>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</si>
  <si>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</si>
  <si>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</si>
  <si>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</si>
  <si>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</si>
  <si>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</si>
  <si>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</si>
  <si>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</si>
  <si>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</si>
  <si>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</si>
  <si>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</si>
  <si>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</si>
  <si>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</si>
  <si>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</si>
  <si>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</si>
  <si>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</si>
  <si>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</si>
  <si>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</si>
  <si>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</si>
  <si>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</si>
  <si>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</si>
  <si>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</si>
  <si>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</si>
  <si>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</si>
  <si>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</si>
  <si>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</si>
  <si>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</si>
  <si>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</si>
  <si>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</si>
  <si>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</si>
  <si>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</si>
  <si>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</si>
  <si>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</si>
  <si>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</si>
  <si>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</si>
  <si>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</si>
  <si>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</si>
  <si>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</si>
  <si>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</si>
  <si>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</si>
  <si>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</si>
  <si>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</si>
  <si>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</si>
  <si>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</si>
  <si>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</si>
  <si>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</si>
  <si>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</si>
  <si>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</si>
  <si>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</si>
  <si>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</si>
  <si>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</si>
  <si>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</si>
  <si>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</si>
  <si>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</si>
  <si>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</si>
  <si>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</si>
  <si>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</si>
  <si>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</si>
  <si>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</si>
  <si>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</si>
  <si>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</si>
  <si>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</si>
  <si>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</si>
  <si>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</si>
  <si>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</si>
  <si>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</si>
  <si>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</si>
  <si>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</si>
  <si>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</si>
  <si>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</si>
  <si>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</si>
  <si>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</si>
  <si>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</si>
  <si>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</si>
  <si>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</si>
  <si>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</si>
  <si>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</si>
  <si>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</si>
  <si>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</si>
  <si>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</si>
  <si>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</si>
  <si>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</si>
  <si>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</si>
  <si>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</si>
  <si>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</si>
  <si>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</si>
  <si>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</si>
  <si>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</si>
  <si>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</si>
  <si>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</si>
  <si>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</si>
  <si>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</si>
  <si>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</si>
  <si>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</si>
  <si>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</si>
  <si>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</si>
  <si>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</si>
  <si>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</si>
  <si>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</si>
  <si>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</si>
  <si>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</si>
  <si>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</si>
  <si>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</si>
  <si>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</si>
  <si>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</si>
  <si>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</si>
  <si>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</si>
  <si>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</si>
  <si>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</si>
  <si>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</si>
  <si>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</si>
  <si>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</si>
  <si>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</si>
  <si>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</si>
  <si>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</si>
  <si>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</si>
  <si>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</si>
  <si>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</si>
  <si>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</si>
  <si>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</si>
  <si>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</si>
  <si>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</si>
  <si>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</si>
  <si>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</si>
  <si>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</si>
  <si>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</si>
  <si>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California, Inc.</t>
  </si>
  <si>
    <t>Cigna Hlth Grp</t>
  </si>
  <si>
    <t>N/A</t>
  </si>
  <si>
    <t>00901</t>
  </si>
  <si>
    <t>2015</t>
  </si>
  <si>
    <t>400 North Brand Boulevard, #400 Glendale, CA 91203</t>
  </si>
  <si>
    <t>953310115</t>
  </si>
  <si>
    <t>068912</t>
  </si>
  <si>
    <t>101</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</si>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</sst>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-51779</v>
      </c>
      <c r="E5" s="213">
        <f ca="1">SUM('Pt 2 Premium and Claims'!E$5,'Pt 2 Premium and Claims'!E$6,-'Pt 2 Premium and Claims'!E$7,-'Pt 2 Premium and Claims'!E$13,'Pt 2 Premium and Claims'!E$14:'Pt 2 Premium and Claims'!E$17)</f>
        <v>-931</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4707655</v>
      </c>
      <c r="K5" s="213">
        <f ca="1">SUM('Pt 2 Premium and Claims'!K$5,'Pt 2 Premium and Claims'!K$6,-'Pt 2 Premium and Claims'!K$7,-'Pt 2 Premium and Claims'!K$13,'Pt 2 Premium and Claims'!K$14,'Pt 2 Premium and Claims'!K$16:'Pt 2 Premium and Claims'!K$17)</f>
        <v>4764658</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946013990</v>
      </c>
      <c r="Q5" s="213">
        <f>SUM('Pt 2 Premium and Claims'!Q$5,'Pt 2 Premium and Claims'!Q$6,-'Pt 2 Premium and Claims'!Q$7,-'Pt 2 Premium and Claims'!Q$13,'Pt 2 Premium and Claims'!Q$14)</f>
        <v>956090981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9</v>
      </c>
      <c r="K7" s="217">
        <v>9</v>
      </c>
      <c r="L7" s="217"/>
      <c r="M7" s="217"/>
      <c r="N7" s="217"/>
      <c r="O7" s="216"/>
      <c r="P7" s="216">
        <v>1757</v>
      </c>
      <c r="Q7" s="217">
        <v>1757</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-8806311</v>
      </c>
      <c r="AU8" s="220">
        <v>0</v>
      </c>
      <c r="AV8" s="290"/>
      <c r="AW8" s="297"/>
    </row>
    <row r="9" spans="1:49" x14ac:dyDescent="0.2">
      <c r="B9" s="239" t="s">
        <v>226</v>
      </c>
      <c r="C9" s="203" t="s">
        <v>60</v>
      </c>
      <c r="D9" s="216">
        <v>0</v>
      </c>
      <c r="E9" s="267"/>
      <c r="F9" s="270"/>
      <c r="G9" s="270"/>
      <c r="H9" s="270"/>
      <c r="I9" s="271"/>
      <c r="J9" s="216">
        <v>-15000</v>
      </c>
      <c r="K9" s="267"/>
      <c r="L9" s="270"/>
      <c r="M9" s="270"/>
      <c r="N9" s="270"/>
      <c r="O9" s="271"/>
      <c r="P9" s="216">
        <v>-285000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-760879</v>
      </c>
      <c r="E12" s="213">
        <f>'Pt 2 Premium and Claims'!E$54</f>
        <v>-673483</v>
      </c>
      <c r="F12" s="213">
        <f>'Pt 2 Premium and Claims'!F$54</f>
        <v>0</v>
      </c>
      <c r="G12" s="213">
        <f>'Pt 2 Premium and Claims'!G$54</f>
        <v>0</v>
      </c>
      <c r="H12" s="213">
        <f>'Pt 2 Premium and Claims'!H$54</f>
        <v>0</v>
      </c>
      <c r="I12" s="212">
        <f>'Pt 2 Premium and Claims'!I$54</f>
        <v>0</v>
      </c>
      <c r="J12" s="212">
        <f>'Pt 2 Premium and Claims'!J$54</f>
        <v>4347723</v>
      </c>
      <c r="K12" s="213">
        <f>'Pt 2 Premium and Claims'!K$54</f>
        <v>4334879</v>
      </c>
      <c r="L12" s="213">
        <f>'Pt 2 Premium and Claims'!L$54</f>
        <v>0</v>
      </c>
      <c r="M12" s="213">
        <f>'Pt 2 Premium and Claims'!M$54</f>
        <v>0</v>
      </c>
      <c r="N12" s="213">
        <f>'Pt 2 Premium and Claims'!N$54</f>
        <v>0</v>
      </c>
      <c r="O12" s="212">
        <f>'Pt 2 Premium and Claims'!O$54</f>
        <v>0</v>
      </c>
      <c r="P12" s="212">
        <f>'Pt 2 Premium and Claims'!P$54</f>
        <v>871063933</v>
      </c>
      <c r="Q12" s="213">
        <f>'Pt 2 Premium and Claims'!Q$54</f>
        <v>885728864</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v>0</v>
      </c>
      <c r="F13" s="217"/>
      <c r="G13" s="268"/>
      <c r="H13" s="269"/>
      <c r="I13" s="216">
        <v>0</v>
      </c>
      <c r="J13" s="216">
        <v>436841</v>
      </c>
      <c r="K13" s="217">
        <v>440576</v>
      </c>
      <c r="L13" s="217"/>
      <c r="M13" s="268"/>
      <c r="N13" s="269"/>
      <c r="O13" s="216"/>
      <c r="P13" s="216">
        <v>93884401</v>
      </c>
      <c r="Q13" s="217">
        <v>93926296</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20</v>
      </c>
      <c r="K15" s="217">
        <v>20</v>
      </c>
      <c r="L15" s="217"/>
      <c r="M15" s="267"/>
      <c r="N15" s="273"/>
      <c r="O15" s="216"/>
      <c r="P15" s="216">
        <v>4238</v>
      </c>
      <c r="Q15" s="217">
        <v>4238</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-6542872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142400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46809</v>
      </c>
      <c r="E25" s="217">
        <v>46809</v>
      </c>
      <c r="F25" s="217"/>
      <c r="G25" s="217"/>
      <c r="H25" s="217"/>
      <c r="I25" s="216">
        <v>0</v>
      </c>
      <c r="J25" s="216">
        <v>-43683</v>
      </c>
      <c r="K25" s="217">
        <v>-43683</v>
      </c>
      <c r="L25" s="217"/>
      <c r="M25" s="217"/>
      <c r="N25" s="217"/>
      <c r="O25" s="216"/>
      <c r="P25" s="216">
        <v>-2146676</v>
      </c>
      <c r="Q25" s="217">
        <v>-2146676</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-2749863</v>
      </c>
      <c r="AU25" s="220">
        <v>0</v>
      </c>
      <c r="AV25" s="220">
        <v>0</v>
      </c>
      <c r="AW25" s="297"/>
    </row>
    <row r="26" spans="1:49" s="5" customFormat="1" x14ac:dyDescent="0.2">
      <c r="A26" s="35"/>
      <c r="B26" s="242" t="s">
        <v>242</v>
      </c>
      <c r="C26" s="203"/>
      <c r="D26" s="216">
        <v>0</v>
      </c>
      <c r="E26" s="217">
        <v>0</v>
      </c>
      <c r="F26" s="217"/>
      <c r="G26" s="217"/>
      <c r="H26" s="217"/>
      <c r="I26" s="216">
        <v>0</v>
      </c>
      <c r="J26" s="216">
        <v>1773</v>
      </c>
      <c r="K26" s="217">
        <v>1773</v>
      </c>
      <c r="L26" s="217"/>
      <c r="M26" s="217"/>
      <c r="N26" s="217"/>
      <c r="O26" s="216"/>
      <c r="P26" s="216">
        <v>385326</v>
      </c>
      <c r="Q26" s="217">
        <v>385326</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89755</v>
      </c>
      <c r="K27" s="217">
        <v>89755</v>
      </c>
      <c r="L27" s="217"/>
      <c r="M27" s="217"/>
      <c r="N27" s="217"/>
      <c r="O27" s="216"/>
      <c r="P27" s="216">
        <v>17991845</v>
      </c>
      <c r="Q27" s="217">
        <v>17991845</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5812</v>
      </c>
      <c r="K28" s="217">
        <v>5812</v>
      </c>
      <c r="L28" s="217"/>
      <c r="M28" s="217"/>
      <c r="N28" s="217"/>
      <c r="O28" s="216"/>
      <c r="P28" s="216">
        <v>1165042</v>
      </c>
      <c r="Q28" s="217">
        <v>1165042</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10333</v>
      </c>
      <c r="E30" s="217">
        <v>10333</v>
      </c>
      <c r="F30" s="217"/>
      <c r="G30" s="217"/>
      <c r="H30" s="217"/>
      <c r="I30" s="216">
        <v>0</v>
      </c>
      <c r="J30" s="216">
        <v>-8891</v>
      </c>
      <c r="K30" s="217">
        <v>-8891</v>
      </c>
      <c r="L30" s="217"/>
      <c r="M30" s="217"/>
      <c r="N30" s="217"/>
      <c r="O30" s="216"/>
      <c r="P30" s="216">
        <v>-322259</v>
      </c>
      <c r="Q30" s="217">
        <v>-322259</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-606987</v>
      </c>
      <c r="AU30" s="220">
        <v>0</v>
      </c>
      <c r="AV30" s="220">
        <v>0</v>
      </c>
      <c r="AW30" s="297"/>
    </row>
    <row r="31" spans="1:49" x14ac:dyDescent="0.2">
      <c r="B31" s="242" t="s">
        <v>247</v>
      </c>
      <c r="C31" s="203"/>
      <c r="D31" s="216">
        <v>0</v>
      </c>
      <c r="E31" s="217">
        <v>0</v>
      </c>
      <c r="F31" s="217"/>
      <c r="G31" s="217"/>
      <c r="H31" s="217"/>
      <c r="I31" s="216">
        <v>0</v>
      </c>
      <c r="J31" s="216">
        <v>20</v>
      </c>
      <c r="K31" s="217">
        <v>20</v>
      </c>
      <c r="L31" s="217"/>
      <c r="M31" s="217"/>
      <c r="N31" s="217"/>
      <c r="O31" s="216"/>
      <c r="P31" s="216">
        <v>4084</v>
      </c>
      <c r="Q31" s="217">
        <v>4084</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37930</v>
      </c>
      <c r="K34" s="217">
        <v>37930</v>
      </c>
      <c r="L34" s="217"/>
      <c r="M34" s="217"/>
      <c r="N34" s="217"/>
      <c r="O34" s="216"/>
      <c r="P34" s="216">
        <v>8119684</v>
      </c>
      <c r="Q34" s="217">
        <v>8119684</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78</v>
      </c>
      <c r="K35" s="217">
        <v>78</v>
      </c>
      <c r="L35" s="217"/>
      <c r="M35" s="217"/>
      <c r="N35" s="217"/>
      <c r="O35" s="216"/>
      <c r="P35" s="216">
        <v>15723</v>
      </c>
      <c r="Q35" s="217">
        <v>15723</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v>6005</v>
      </c>
      <c r="K37" s="225">
        <v>6074</v>
      </c>
      <c r="L37" s="225"/>
      <c r="M37" s="225"/>
      <c r="N37" s="225"/>
      <c r="O37" s="224"/>
      <c r="P37" s="224">
        <v>1204076</v>
      </c>
      <c r="Q37" s="225">
        <v>1223489</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v>0</v>
      </c>
      <c r="J38" s="216">
        <v>3560</v>
      </c>
      <c r="K38" s="217">
        <v>3562</v>
      </c>
      <c r="L38" s="217"/>
      <c r="M38" s="217"/>
      <c r="N38" s="217"/>
      <c r="O38" s="216"/>
      <c r="P38" s="216">
        <v>714011</v>
      </c>
      <c r="Q38" s="217">
        <v>716016</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850</v>
      </c>
      <c r="K39" s="217">
        <v>896</v>
      </c>
      <c r="L39" s="217"/>
      <c r="M39" s="217"/>
      <c r="N39" s="217"/>
      <c r="O39" s="216"/>
      <c r="P39" s="216">
        <v>170831</v>
      </c>
      <c r="Q39" s="217">
        <v>178614</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v>0</v>
      </c>
      <c r="J40" s="216">
        <v>1709</v>
      </c>
      <c r="K40" s="217">
        <v>1709</v>
      </c>
      <c r="L40" s="217"/>
      <c r="M40" s="217"/>
      <c r="N40" s="217"/>
      <c r="O40" s="216"/>
      <c r="P40" s="216">
        <v>342932</v>
      </c>
      <c r="Q40" s="217">
        <v>342717</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c r="G41" s="217"/>
      <c r="H41" s="217"/>
      <c r="I41" s="216">
        <v>0</v>
      </c>
      <c r="J41" s="216">
        <v>1388</v>
      </c>
      <c r="K41" s="217">
        <v>1388</v>
      </c>
      <c r="L41" s="217"/>
      <c r="M41" s="217"/>
      <c r="N41" s="217"/>
      <c r="O41" s="216"/>
      <c r="P41" s="216">
        <v>278681</v>
      </c>
      <c r="Q41" s="217">
        <v>279117</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54</v>
      </c>
      <c r="K42" s="217">
        <v>54</v>
      </c>
      <c r="L42" s="217"/>
      <c r="M42" s="217"/>
      <c r="N42" s="217"/>
      <c r="O42" s="216"/>
      <c r="P42" s="216">
        <v>10805</v>
      </c>
      <c r="Q42" s="217">
        <v>10805</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v>10370</v>
      </c>
      <c r="K44" s="225">
        <v>46066</v>
      </c>
      <c r="L44" s="225"/>
      <c r="M44" s="225"/>
      <c r="N44" s="225"/>
      <c r="O44" s="224"/>
      <c r="P44" s="224">
        <v>2078801</v>
      </c>
      <c r="Q44" s="225">
        <v>4042317</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0</v>
      </c>
      <c r="E45" s="217">
        <v>0</v>
      </c>
      <c r="F45" s="217"/>
      <c r="G45" s="217"/>
      <c r="H45" s="217"/>
      <c r="I45" s="216">
        <v>0</v>
      </c>
      <c r="J45" s="216">
        <v>31723</v>
      </c>
      <c r="K45" s="217">
        <v>31723</v>
      </c>
      <c r="L45" s="217"/>
      <c r="M45" s="217"/>
      <c r="N45" s="217"/>
      <c r="O45" s="216"/>
      <c r="P45" s="216">
        <v>6358979</v>
      </c>
      <c r="Q45" s="217">
        <v>6358979</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0</v>
      </c>
      <c r="E46" s="217">
        <v>0</v>
      </c>
      <c r="F46" s="217"/>
      <c r="G46" s="217"/>
      <c r="H46" s="217"/>
      <c r="I46" s="216">
        <v>0</v>
      </c>
      <c r="J46" s="216">
        <v>7510</v>
      </c>
      <c r="K46" s="217">
        <v>7510</v>
      </c>
      <c r="L46" s="217"/>
      <c r="M46" s="217"/>
      <c r="N46" s="217"/>
      <c r="O46" s="216"/>
      <c r="P46" s="216">
        <v>1505465</v>
      </c>
      <c r="Q46" s="217">
        <v>1505465</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36302</v>
      </c>
      <c r="K47" s="217">
        <v>36302</v>
      </c>
      <c r="L47" s="217"/>
      <c r="M47" s="217"/>
      <c r="N47" s="217"/>
      <c r="O47" s="216"/>
      <c r="P47" s="216">
        <v>7333725</v>
      </c>
      <c r="Q47" s="217">
        <v>7333725</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54</v>
      </c>
      <c r="K49" s="217">
        <v>54</v>
      </c>
      <c r="L49" s="217"/>
      <c r="M49" s="217"/>
      <c r="N49" s="217"/>
      <c r="O49" s="216"/>
      <c r="P49" s="216">
        <v>10761</v>
      </c>
      <c r="Q49" s="217">
        <v>10761</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382</v>
      </c>
      <c r="K50" s="217">
        <v>382</v>
      </c>
      <c r="L50" s="217"/>
      <c r="M50" s="217"/>
      <c r="N50" s="217"/>
      <c r="O50" s="216"/>
      <c r="P50" s="216">
        <v>76501</v>
      </c>
      <c r="Q50" s="217">
        <v>76501</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234644</v>
      </c>
      <c r="K51" s="217">
        <v>234644</v>
      </c>
      <c r="L51" s="217"/>
      <c r="M51" s="217"/>
      <c r="N51" s="217"/>
      <c r="O51" s="216"/>
      <c r="P51" s="216">
        <v>47034921</v>
      </c>
      <c r="Q51" s="217">
        <v>47034921</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147</v>
      </c>
      <c r="K53" s="217">
        <v>147</v>
      </c>
      <c r="L53" s="217"/>
      <c r="M53" s="268"/>
      <c r="N53" s="268"/>
      <c r="O53" s="216">
        <v>0</v>
      </c>
      <c r="P53" s="216">
        <v>29420</v>
      </c>
      <c r="Q53" s="217">
        <v>29420</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575</v>
      </c>
      <c r="K56" s="229">
        <v>575</v>
      </c>
      <c r="L56" s="229"/>
      <c r="M56" s="229"/>
      <c r="N56" s="229"/>
      <c r="O56" s="228"/>
      <c r="P56" s="228">
        <v>83199</v>
      </c>
      <c r="Q56" s="229">
        <v>83199</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0</v>
      </c>
      <c r="E57" s="232">
        <v>0</v>
      </c>
      <c r="F57" s="232"/>
      <c r="G57" s="232"/>
      <c r="H57" s="232"/>
      <c r="I57" s="231">
        <v>0</v>
      </c>
      <c r="J57" s="231">
        <v>971</v>
      </c>
      <c r="K57" s="232">
        <v>971</v>
      </c>
      <c r="L57" s="232"/>
      <c r="M57" s="232"/>
      <c r="N57" s="232"/>
      <c r="O57" s="231"/>
      <c r="P57" s="231">
        <v>181369</v>
      </c>
      <c r="Q57" s="232">
        <v>181369</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4</v>
      </c>
      <c r="K58" s="232">
        <v>4</v>
      </c>
      <c r="L58" s="232"/>
      <c r="M58" s="232"/>
      <c r="N58" s="232"/>
      <c r="O58" s="231"/>
      <c r="P58" s="231">
        <v>234</v>
      </c>
      <c r="Q58" s="232">
        <v>234</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c r="G59" s="232"/>
      <c r="H59" s="232"/>
      <c r="I59" s="231">
        <v>0</v>
      </c>
      <c r="J59" s="231">
        <v>10861</v>
      </c>
      <c r="K59" s="232">
        <v>10861</v>
      </c>
      <c r="L59" s="232"/>
      <c r="M59" s="232"/>
      <c r="N59" s="232"/>
      <c r="O59" s="231"/>
      <c r="P59" s="231">
        <v>2177135</v>
      </c>
      <c r="Q59" s="232">
        <v>2177135</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905.08333333333337</v>
      </c>
      <c r="K60" s="235">
        <f t="shared" si="0"/>
        <v>905.08333333333337</v>
      </c>
      <c r="L60" s="235">
        <f t="shared" si="0"/>
        <v>0</v>
      </c>
      <c r="M60" s="235">
        <f t="shared" si="0"/>
        <v>0</v>
      </c>
      <c r="N60" s="235">
        <f t="shared" si="0"/>
        <v>0</v>
      </c>
      <c r="O60" s="234">
        <f t="shared" si="0"/>
        <v>0</v>
      </c>
      <c r="P60" s="234">
        <f t="shared" si="0"/>
        <v>181427.91666666666</v>
      </c>
      <c r="Q60" s="235">
        <f t="shared" si="0"/>
        <v>181427.91666666666</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2538394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5016572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-51779</v>
      </c>
      <c r="E5" s="326">
        <v>-931</v>
      </c>
      <c r="F5" s="326"/>
      <c r="G5" s="328"/>
      <c r="H5" s="328"/>
      <c r="I5" s="325">
        <v>0</v>
      </c>
      <c r="J5" s="325">
        <v>4709199</v>
      </c>
      <c r="K5" s="326">
        <v>4766202</v>
      </c>
      <c r="L5" s="326"/>
      <c r="M5" s="326"/>
      <c r="N5" s="326"/>
      <c r="O5" s="325"/>
      <c r="P5" s="325">
        <v>946083818</v>
      </c>
      <c r="Q5" s="326">
        <v>956150094</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1544</v>
      </c>
      <c r="K13" s="319">
        <v>1544</v>
      </c>
      <c r="L13" s="319"/>
      <c r="M13" s="319"/>
      <c r="N13" s="319"/>
      <c r="O13" s="318"/>
      <c r="P13" s="318">
        <v>69828</v>
      </c>
      <c r="Q13" s="319">
        <v>59113</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-689176</v>
      </c>
      <c r="E23" s="362"/>
      <c r="F23" s="362"/>
      <c r="G23" s="362"/>
      <c r="H23" s="362"/>
      <c r="I23" s="364"/>
      <c r="J23" s="318">
        <v>4154997</v>
      </c>
      <c r="K23" s="362"/>
      <c r="L23" s="362"/>
      <c r="M23" s="362"/>
      <c r="N23" s="362"/>
      <c r="O23" s="364"/>
      <c r="P23" s="318">
        <v>874077545</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-672036</v>
      </c>
      <c r="F24" s="319"/>
      <c r="G24" s="319"/>
      <c r="H24" s="319"/>
      <c r="I24" s="318">
        <v>0</v>
      </c>
      <c r="J24" s="365"/>
      <c r="K24" s="319">
        <v>4218551</v>
      </c>
      <c r="L24" s="319"/>
      <c r="M24" s="319"/>
      <c r="N24" s="319"/>
      <c r="O24" s="318"/>
      <c r="P24" s="365"/>
      <c r="Q24" s="319">
        <v>857435972</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303064</v>
      </c>
      <c r="K26" s="362"/>
      <c r="L26" s="362"/>
      <c r="M26" s="362"/>
      <c r="N26" s="362"/>
      <c r="O26" s="364"/>
      <c r="P26" s="318">
        <v>61225033</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-1275</v>
      </c>
      <c r="F27" s="319"/>
      <c r="G27" s="319"/>
      <c r="H27" s="319"/>
      <c r="I27" s="318">
        <v>0</v>
      </c>
      <c r="J27" s="365"/>
      <c r="K27" s="319">
        <v>115894</v>
      </c>
      <c r="L27" s="319"/>
      <c r="M27" s="319"/>
      <c r="N27" s="319"/>
      <c r="O27" s="318"/>
      <c r="P27" s="365"/>
      <c r="Q27" s="319">
        <v>23289135</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71531</v>
      </c>
      <c r="E28" s="363"/>
      <c r="F28" s="363"/>
      <c r="G28" s="363"/>
      <c r="H28" s="363"/>
      <c r="I28" s="365"/>
      <c r="J28" s="318">
        <v>110772</v>
      </c>
      <c r="K28" s="363"/>
      <c r="L28" s="363"/>
      <c r="M28" s="363"/>
      <c r="N28" s="363"/>
      <c r="O28" s="365"/>
      <c r="P28" s="318">
        <v>66184480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701</v>
      </c>
      <c r="K34" s="362"/>
      <c r="L34" s="362"/>
      <c r="M34" s="362"/>
      <c r="N34" s="362"/>
      <c r="O34" s="364"/>
      <c r="P34" s="318">
        <v>141699</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701</v>
      </c>
      <c r="L35" s="319"/>
      <c r="M35" s="319"/>
      <c r="N35" s="319"/>
      <c r="O35" s="318"/>
      <c r="P35" s="365"/>
      <c r="Q35" s="319">
        <v>141699</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172</v>
      </c>
      <c r="E36" s="319">
        <v>172</v>
      </c>
      <c r="F36" s="319"/>
      <c r="G36" s="319"/>
      <c r="H36" s="319"/>
      <c r="I36" s="318">
        <v>0</v>
      </c>
      <c r="J36" s="318">
        <v>267</v>
      </c>
      <c r="K36" s="319">
        <v>267</v>
      </c>
      <c r="L36" s="319"/>
      <c r="M36" s="319"/>
      <c r="N36" s="319"/>
      <c r="O36" s="318"/>
      <c r="P36" s="318">
        <v>159411</v>
      </c>
      <c r="Q36" s="319">
        <v>159411</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305618</v>
      </c>
      <c r="Q45" s="319">
        <v>305618</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9730964</v>
      </c>
      <c r="Q46" s="319">
        <v>4715851</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8073035</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-760879</v>
      </c>
      <c r="E54" s="323">
        <f>E24+E27+E31+E35-E36+E39+E42+E45+E46-E49+E51+E52+E53</f>
        <v>-673483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4347723</v>
      </c>
      <c r="K54" s="323">
        <f>K24+K27+K31+K35-K36+K39+K42+K45+K46-K49+K51+K52+K53</f>
        <v>4334879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871063933</v>
      </c>
      <c r="Q54" s="323">
        <f>Q24+Q27+Q31+Q35-Q36+Q39+Q42+Q45+Q46-Q49+Q51+Q52+Q53</f>
        <v>885728864</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3646980</v>
      </c>
      <c r="D6" s="398">
        <v>1599196</v>
      </c>
      <c r="E6" s="400">
        <f>SUM('Pt 1 Summary of Data'!E$12,'Pt 1 Summary of Data'!E$22)+SUM('Pt 1 Summary of Data'!G$12,'Pt 1 Summary of Data'!G$22)-SUM('Pt 1 Summary of Data'!H$12,'Pt 1 Summary of Data'!H$22)</f>
        <v>-673483</v>
      </c>
      <c r="F6" s="400">
        <f t="shared" ref="F6:F11" si="0">SUM(C6:E6)</f>
        <v>4572693</v>
      </c>
      <c r="G6" s="401">
        <f>SUM('Pt 1 Summary of Data'!I$12,'Pt 1 Summary of Data'!I$22)</f>
        <v>0</v>
      </c>
      <c r="H6" s="397">
        <v>1923594</v>
      </c>
      <c r="I6" s="398">
        <v>5602</v>
      </c>
      <c r="J6" s="400">
        <f>SUM('Pt 1 Summary of Data'!K$12,'Pt 1 Summary of Data'!K$22)+SUM('Pt 1 Summary of Data'!M$12,'Pt 1 Summary of Data'!M$22)-SUM('Pt 1 Summary of Data'!N$12,'Pt 1 Summary of Data'!N$22)</f>
        <v>4334879</v>
      </c>
      <c r="K6" s="400">
        <f>SUM(H6:J6)</f>
        <v>6264075</v>
      </c>
      <c r="L6" s="401">
        <f>SUM('Pt 1 Summary of Data'!O$12,'Pt 1 Summary of Data'!O$22)</f>
        <v>0</v>
      </c>
      <c r="M6" s="397">
        <v>870209022</v>
      </c>
      <c r="N6" s="398">
        <v>810337138</v>
      </c>
      <c r="O6" s="400">
        <f>SUM('Pt 1 Summary of Data'!Q$12,'Pt 1 Summary of Data'!Q$22)+SUM('Pt 1 Summary of Data'!S$12,'Pt 1 Summary of Data'!S$22)-SUM('Pt 1 Summary of Data'!T$12,'Pt 1 Summary of Data'!T$22)</f>
        <v>885728864</v>
      </c>
      <c r="P6" s="400">
        <f>SUM(M6:O6)</f>
        <v>2566275024</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4454</v>
      </c>
      <c r="D7" s="398">
        <v>330</v>
      </c>
      <c r="E7" s="400">
        <f ca="1">SUM('Pt 1 Summary of Data'!E$37:E$41)+SUM('Pt 1 Summary of Data'!G$37:G$41)-SUM('Pt 1 Summary of Data'!H$37:H$41)+MAX(0,MIN('Pt 1 Summary of Data'!E$42+'Pt 1 Summary of Data'!G$42-'Pt 1 Summary of Data'!H$42,0.3%*('Pt 1 Summary of Data'!E$5+'Pt 1 Summary of Data'!G$5-'Pt 1 Summary of Data'!H$5-SUM(E$9:E$11))))</f>
        <v>0</v>
      </c>
      <c r="F7" s="400">
        <f t="shared" ca="1" si="0"/>
        <v>4784</v>
      </c>
      <c r="G7" s="401">
        <f ca="1">SUM('Pt 1 Summary of Data'!I$37:I$41)+MAX(0,MIN(VALUE('Pt 1 Summary of Data'!I$42),0.3%*('Pt 1 Summary of Data'!I$5-SUM(G$9:G$10))))</f>
        <v>0</v>
      </c>
      <c r="H7" s="397">
        <v>7528</v>
      </c>
      <c r="I7" s="398">
        <v>928</v>
      </c>
      <c r="J7" s="400">
        <f ca="1">SUM('Pt 1 Summary of Data'!K$37:K$41)+SUM('Pt 1 Summary of Data'!M$37:M$41)-SUM('Pt 1 Summary of Data'!N$37:N$41)+MAX(0,MIN('Pt 1 Summary of Data'!K$42+'Pt 1 Summary of Data'!M$42-'Pt 1 Summary of Data'!N$42,0.3%*('Pt 1 Summary of Data'!K$5+'Pt 1 Summary of Data'!M$5-'Pt 1 Summary of Data'!N$5-SUM(J$10:J$11))))</f>
        <v>13683</v>
      </c>
      <c r="K7" s="400">
        <f ca="1">SUM(H7:J7)</f>
        <v>22139</v>
      </c>
      <c r="L7" s="401">
        <f>SUM('Pt 1 Summary of Data'!O$37:O$41)+MAX(0,MIN(VALUE('Pt 1 Summary of Data'!O$42),0.3%*('Pt 1 Summary of Data'!O$5-L$10)))</f>
        <v>0</v>
      </c>
      <c r="M7" s="397">
        <v>1164410</v>
      </c>
      <c r="N7" s="398">
        <v>1752979</v>
      </c>
      <c r="O7" s="400">
        <f>SUM('Pt 1 Summary of Data'!Q$37:Q$41)+SUM('Pt 1 Summary of Data'!S$37:S$41)-SUM('Pt 1 Summary of Data'!T$37:T$41)+MAX(0,MIN('Pt 1 Summary of Data'!Q$42+'Pt 1 Summary of Data'!S$42-'Pt 1 Summary of Data'!T$42,0.3%*('Pt 1 Summary of Data'!Q$5+'Pt 1 Summary of Data'!S$5-'Pt 1 Summary of Data'!T$5)))</f>
        <v>2750758</v>
      </c>
      <c r="P7" s="400">
        <f>SUM(M7:O7)</f>
        <v>5668147</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3651434</v>
      </c>
      <c r="D12" s="400">
        <f ca="1">SUM(D$6:D$7) - SUM(D$8:D$11)+IF(AND(OR('Company Information'!$C$12="District of Columbia",'Company Information'!$C$12="Massachusetts",'Company Information'!$C$12="Vermont"),SUM($C$6:$F$11,$C$15:$F$16,$C$38:$D$38)&lt;&gt;0),SUM(I$6:I$7) - SUM(I$10:I$11),0)</f>
        <v>1599526</v>
      </c>
      <c r="E12" s="400">
        <f ca="1">SUM(E$6:E$7)-SUM(E$8:E$11)+IF(AND(OR('Company Information'!$C$12="District of Columbia",'Company Information'!$C$12="Massachusetts",'Company Information'!$C$12="Vermont"),SUM($C$6:$F$11,$C$15:$F$16,$C$38:$D$38)&lt;&gt;0),SUM(J$6:J$7)-SUM(J$10:J$11),0)</f>
        <v>-673483</v>
      </c>
      <c r="F12" s="400">
        <f ca="1">IFERROR(SUM(C$12:E$12)+C$17*MAX(0,E$50-C$50)+D$17*MAX(0,E$50-D$50),0)</f>
        <v>4577477</v>
      </c>
      <c r="G12" s="447"/>
      <c r="H12" s="399">
        <f ca="1">SUM(H$6:H$7)+IF(AND(OR('Company Information'!$C$12="District of Columbia",'Company Information'!$C$12="Massachusetts",'Company Information'!$C$12="Vermont"),SUM($H$6:$K$11,$H$15:$K$16,$H$38:$I$38)&lt;&gt;0),SUM(C$6:C$7),0)</f>
        <v>1931122</v>
      </c>
      <c r="I12" s="400">
        <f ca="1">SUM(I$6:I$7) - SUM(I$10:I$11)+IF(AND(OR('Company Information'!$C$12="District of Columbia",'Company Information'!$C$12="Massachusetts",'Company Information'!$C$12="Vermont"),SUM($H$6:$K$11,$H$15:$K$16,$H$38:$I$38)&lt;&gt;0),SUM(D$6:D$7) - SUM(D$8:D$11),0)</f>
        <v>6530</v>
      </c>
      <c r="J12" s="400">
        <f ca="1">SUM(J$6:J$7)-SUM(J$10:J$11)+IF(AND(OR('Company Information'!$C$12="District of Columbia",'Company Information'!$C$12="Massachusetts",'Company Information'!$C$12="Vermont"),SUM($H$6:$K$11,$H$15:$K$16,$H$38:$I$38)&lt;&gt;0),SUM(E$6:E$7)-SUM(E$8:E$11),0)</f>
        <v>4348562</v>
      </c>
      <c r="K12" s="400">
        <f ca="1">IFERROR(SUM(H$12:J$12)+H$17*MAX(0,J$50-H$50)+I$17*MAX(0,J$50-I$50),0)</f>
        <v>6286214</v>
      </c>
      <c r="L12" s="447"/>
      <c r="M12" s="399">
        <f>SUM(M$6:M$7)</f>
        <v>871373432</v>
      </c>
      <c r="N12" s="400">
        <f>SUM(N$6:N$7)</f>
        <v>812090117</v>
      </c>
      <c r="O12" s="400">
        <f>SUM(O$6:O$7)</f>
        <v>888479622</v>
      </c>
      <c r="P12" s="400">
        <f>SUM(M$12:O$12)+M$17*MAX(0,O$50-M$50)+N$17*MAX(0,O$50-N$50)</f>
        <v>2571943171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2179691</v>
      </c>
      <c r="D15" s="403">
        <v>286030</v>
      </c>
      <c r="E15" s="395">
        <f ca="1">SUM('Pt 1 Summary of Data'!E$5:E$7)+SUM('Pt 1 Summary of Data'!G$5:G$7)-SUM('Pt 1 Summary of Data'!H$5:H$7)-SUM(E$9:E$11)</f>
        <v>-931</v>
      </c>
      <c r="F15" s="395">
        <f ca="1">SUM(C15:E15)</f>
        <v>2464790</v>
      </c>
      <c r="G15" s="396">
        <f ca="1">SUM('Pt 1 Summary of Data'!I$5:I$7)-SUM(G$9:G$10)</f>
        <v>0</v>
      </c>
      <c r="H15" s="402">
        <v>1590559</v>
      </c>
      <c r="I15" s="403">
        <v>456412</v>
      </c>
      <c r="J15" s="395">
        <f ca="1">SUM('Pt 1 Summary of Data'!K$5:K$7)+SUM('Pt 1 Summary of Data'!M$5:M$7)-SUM('Pt 1 Summary of Data'!N$5:N$7)-SUM(J$10:J$11)</f>
        <v>4764667</v>
      </c>
      <c r="K15" s="395">
        <f ca="1">SUM(H15:J15)</f>
        <v>6811638</v>
      </c>
      <c r="L15" s="396">
        <f>SUM('Pt 1 Summary of Data'!O$5:O$7)-L$10</f>
        <v>0</v>
      </c>
      <c r="M15" s="402">
        <v>883131667</v>
      </c>
      <c r="N15" s="403">
        <v>965381568</v>
      </c>
      <c r="O15" s="395">
        <f>SUM('Pt 1 Summary of Data'!Q$5:Q$7)+SUM('Pt 1 Summary of Data'!S$5:S$7)-SUM('Pt 1 Summary of Data'!T$5:T$7)+N$56</f>
        <v>956092738</v>
      </c>
      <c r="P15" s="395">
        <f>SUM(M15:O15)</f>
        <v>2804605973</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-651833</v>
      </c>
      <c r="D16" s="398">
        <v>-835279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57142</v>
      </c>
      <c r="F16" s="400">
        <f>SUM(C16:E16)</f>
        <v>-1429970</v>
      </c>
      <c r="G16" s="401">
        <f>SUM('Pt 1 Summary of Data'!I$25:I$28,'Pt 1 Summary of Data'!I$30,'Pt 1 Summary of Data'!I$34:I$35)+IF('Company Information'!$C$15="No",IF(MAX('Pt 1 Summary of Data'!I$31:I$32)=0,MIN('Pt 1 Summary of Data'!I$31:I$32),MAX('Pt 1 Summary of Data'!I$31:I$32)),SUM('Pt 1 Summary of Data'!I$31:I$32))</f>
        <v>0</v>
      </c>
      <c r="H16" s="397">
        <v>-339650</v>
      </c>
      <c r="I16" s="398">
        <v>2025</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82794</v>
      </c>
      <c r="K16" s="400">
        <f>SUM(H16:J16)</f>
        <v>-254831</v>
      </c>
      <c r="L16" s="401">
        <f>SUM('Pt 1 Summary of Data'!O$25:O$28,'Pt 1 Summary of Data'!O$30,'Pt 1 Summary of Data'!O$34:O$35)+IF('Company Information'!$C$15="No",IF(MAX('Pt 1 Summary of Data'!O$31:O$32)=0,MIN('Pt 1 Summary of Data'!O$31:O$32),MAX('Pt 1 Summary of Data'!O$31:O$32)),SUM('Pt 1 Summary of Data'!O$31:O$32))</f>
        <v>0</v>
      </c>
      <c r="M16" s="397">
        <v>6049769</v>
      </c>
      <c r="N16" s="398">
        <v>40735560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25212769</v>
      </c>
      <c r="P16" s="400">
        <f>SUM(M16:O16)</f>
        <v>71998098</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2831524</v>
      </c>
      <c r="D17" s="400">
        <f ca="1">D$15-D$16+IF(AND(OR('Company Information'!$C$12="District of Columbia",'Company Information'!$C$12="Massachusetts",'Company Information'!$C$12="Vermont"),SUM($C$6:$F$11,$C$15:$F$16,$C$38:$D$38)&lt;&gt;0),I$15-I$16,0)</f>
        <v>1121309</v>
      </c>
      <c r="E17" s="400">
        <f ca="1">E$15-E$16+IF(AND(OR('Company Information'!$C$12="District of Columbia",'Company Information'!$C$12="Massachusetts",'Company Information'!$C$12="Vermont"),SUM($C$6:$F$11,$C$15:$F$16,$C$38:$D$38)&lt;&gt;0),J$15-J$16,0)</f>
        <v>-58073</v>
      </c>
      <c r="F17" s="400">
        <f ca="1">F$15-F$16+IF(AND(OR('Company Information'!$C$12="District of Columbia",'Company Information'!$C$12="Massachusetts",'Company Information'!$C$12="Vermont"),SUM($C$6:$F$11,$C$15:$F$16,$C$38:$D$38)&lt;&gt;0),K$15-K$16,0)</f>
        <v>3894760</v>
      </c>
      <c r="G17" s="450"/>
      <c r="H17" s="399">
        <f ca="1">H$15-H$16+IF(AND(OR('Company Information'!$C$12="District of Columbia",'Company Information'!$C$12="Massachusetts",'Company Information'!$C$12="Vermont"),SUM($H$6:$K$11,$H$15:$K$16,$H$38:$I$38)&lt;&gt;0),C$15-C$16,0)</f>
        <v>1930209</v>
      </c>
      <c r="I17" s="400">
        <f ca="1">I$15-I$16+IF(AND(OR('Company Information'!$C$12="District of Columbia",'Company Information'!$C$12="Massachusetts",'Company Information'!$C$12="Vermont"),SUM($H$6:$K$11,$H$15:$K$16,$H$38:$I$38)&lt;&gt;0),D$15-D$16,0)</f>
        <v>454387</v>
      </c>
      <c r="J17" s="400">
        <f ca="1">J$15-J$16+IF(AND(OR('Company Information'!$C$12="District of Columbia",'Company Information'!$C$12="Massachusetts",'Company Information'!$C$12="Vermont"),SUM($H$6:$K$11,$H$15:$K$16,$H$38:$I$38)&lt;&gt;0),E$15-E$16,0)</f>
        <v>4681873</v>
      </c>
      <c r="K17" s="400">
        <f ca="1">K$15-K$16+IF(AND(OR('Company Information'!$C$12="District of Columbia",'Company Information'!$C$12="Massachusetts",'Company Information'!$C$12="Vermont"),SUM($H$6:$K$11,$H$15:$K$16,$H$38:$I$38)&lt;&gt;0),F$15-F$16,0)</f>
        <v>7066469</v>
      </c>
      <c r="L17" s="450"/>
      <c r="M17" s="399">
        <f>M$15-M$16</f>
        <v>877081898</v>
      </c>
      <c r="N17" s="400">
        <f>N$15-N$16</f>
        <v>924646008</v>
      </c>
      <c r="O17" s="400">
        <f>O$15-O$16</f>
        <v>930879969</v>
      </c>
      <c r="P17" s="400">
        <f>P$15-P$16</f>
        <v>2732607875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5848</v>
      </c>
      <c r="I56" s="441"/>
      <c r="J56" s="441"/>
      <c r="K56" s="441"/>
      <c r="L56" s="447"/>
      <c r="M56" s="397">
        <v>1263581</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1640</v>
      </c>
      <c r="I57" s="441"/>
      <c r="J57" s="441"/>
      <c r="K57" s="441"/>
      <c r="L57" s="447"/>
      <c r="M57" s="397">
        <v>-368000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575</v>
      </c>
      <c r="E4" s="104">
        <f>'Pt 1 Summary of Data'!$Q$56+'Pt 1 Summary of Data'!$S$56-'Pt 1 Summary of Data'!$T$56</f>
        <v>83199</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567</v>
      </c>
      <c r="D23" s="484"/>
      <c r="E23" s="484"/>
      <c r="F23" s="484"/>
      <c r="G23" s="484"/>
      <c r="H23" s="484"/>
      <c r="I23" s="484"/>
      <c r="J23" s="484"/>
      <c r="K23" s="485"/>
    </row>
    <row r="24" spans="2:12" s="5" customFormat="1" ht="100.15" customHeight="1" x14ac:dyDescent="0.2">
      <c r="B24" s="90" t="s">
        <v>213</v>
      </c>
      <c r="C24" s="486" t="s">
        <v>567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568</v>
      </c>
      <c r="E27" s="7"/>
    </row>
    <row r="28" spans="2:5" ht="35.25" customHeight="1" x14ac:dyDescent="0.2">
      <c r="B28" s="134" t="s">
        <v>505</v>
      </c>
      <c r="C28" s="113"/>
      <c r="D28" s="137" t="s">
        <v>509</v>
      </c>
      <c r="E28" s="7"/>
    </row>
    <row r="29" spans="2:5" ht="35.25" customHeight="1" x14ac:dyDescent="0.2">
      <c r="B29" s="134" t="s">
        <v>507</v>
      </c>
      <c r="C29" s="113"/>
      <c r="D29" s="137" t="s">
        <v>510</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505</v>
      </c>
      <c r="C34" s="113"/>
      <c r="D34" s="137" t="s">
        <v>569</v>
      </c>
      <c r="E34" s="7"/>
    </row>
    <row r="35" spans="2:5" ht="35.25" customHeight="1" x14ac:dyDescent="0.2">
      <c r="B35" s="134" t="s">
        <v>505</v>
      </c>
      <c r="C35" s="113"/>
      <c r="D35" s="137" t="s">
        <v>511</v>
      </c>
      <c r="E35" s="7"/>
    </row>
    <row r="36" spans="2:5" ht="35.25" customHeight="1" x14ac:dyDescent="0.2">
      <c r="B36" s="134" t="s">
        <v>505</v>
      </c>
      <c r="C36" s="113"/>
      <c r="D36" s="137" t="s">
        <v>512</v>
      </c>
      <c r="E36" s="7"/>
    </row>
    <row r="37" spans="2:5" ht="35.25" customHeight="1" x14ac:dyDescent="0.2">
      <c r="B37" s="134" t="s">
        <v>505</v>
      </c>
      <c r="C37" s="113"/>
      <c r="D37" s="137" t="s">
        <v>513</v>
      </c>
      <c r="E37" s="7"/>
    </row>
    <row r="38" spans="2:5" ht="35.25" customHeight="1" x14ac:dyDescent="0.2">
      <c r="B38" s="134" t="s">
        <v>507</v>
      </c>
      <c r="C38" s="113"/>
      <c r="D38" s="137" t="s">
        <v>514</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507</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505</v>
      </c>
      <c r="C48" s="113"/>
      <c r="D48" s="137" t="s">
        <v>515</v>
      </c>
      <c r="E48" s="7"/>
    </row>
    <row r="49" spans="2:5" ht="35.25" customHeight="1" x14ac:dyDescent="0.2">
      <c r="B49" s="134" t="s">
        <v>505</v>
      </c>
      <c r="C49" s="113"/>
      <c r="D49" s="137" t="s">
        <v>516</v>
      </c>
      <c r="E49" s="7"/>
    </row>
    <row r="50" spans="2:5" ht="35.25" customHeight="1" x14ac:dyDescent="0.2">
      <c r="B50" s="134" t="s">
        <v>507</v>
      </c>
      <c r="C50" s="113"/>
      <c r="D50" s="137" t="s">
        <v>517</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505</v>
      </c>
      <c r="C56" s="115"/>
      <c r="D56" s="137" t="s">
        <v>518</v>
      </c>
      <c r="E56" s="7"/>
    </row>
    <row r="57" spans="2:5" ht="35.25" customHeight="1" x14ac:dyDescent="0.2">
      <c r="B57" s="134" t="s">
        <v>505</v>
      </c>
      <c r="C57" s="115"/>
      <c r="D57" s="137" t="s">
        <v>519</v>
      </c>
      <c r="E57" s="7"/>
    </row>
    <row r="58" spans="2:5" ht="35.25" customHeight="1" x14ac:dyDescent="0.2">
      <c r="B58" s="134" t="s">
        <v>507</v>
      </c>
      <c r="C58" s="115"/>
      <c r="D58" s="137" t="s">
        <v>520</v>
      </c>
      <c r="E58" s="7"/>
    </row>
    <row r="59" spans="2:5" ht="35.25" customHeight="1" x14ac:dyDescent="0.2">
      <c r="B59" s="134" t="s">
        <v>507</v>
      </c>
      <c r="C59" s="115"/>
      <c r="D59" s="137" t="s">
        <v>521</v>
      </c>
      <c r="E59" s="7"/>
    </row>
    <row r="60" spans="2:5" ht="35.25" customHeight="1" x14ac:dyDescent="0.2">
      <c r="B60" s="134" t="s">
        <v>507</v>
      </c>
      <c r="C60" s="115"/>
      <c r="D60" s="137" t="s">
        <v>522</v>
      </c>
      <c r="E60" s="7"/>
    </row>
    <row r="61" spans="2:5" ht="35.25" customHeight="1" x14ac:dyDescent="0.2">
      <c r="B61" s="134" t="s">
        <v>507</v>
      </c>
      <c r="C61" s="115"/>
      <c r="D61" s="137" t="s">
        <v>523</v>
      </c>
      <c r="E61" s="7"/>
    </row>
    <row r="62" spans="2:5" ht="35.25" customHeight="1" x14ac:dyDescent="0.2">
      <c r="B62" s="134" t="s">
        <v>507</v>
      </c>
      <c r="C62" s="115"/>
      <c r="D62" s="137" t="s">
        <v>524</v>
      </c>
      <c r="E62" s="7"/>
    </row>
    <row r="63" spans="2:5" ht="35.25" customHeight="1" x14ac:dyDescent="0.2">
      <c r="B63" s="134" t="s">
        <v>507</v>
      </c>
      <c r="C63" s="115"/>
      <c r="D63" s="137" t="s">
        <v>525</v>
      </c>
      <c r="E63" s="7"/>
    </row>
    <row r="64" spans="2:5" ht="35.25" customHeight="1" x14ac:dyDescent="0.2">
      <c r="B64" s="134" t="s">
        <v>507</v>
      </c>
      <c r="C64" s="115"/>
      <c r="D64" s="137" t="s">
        <v>526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505</v>
      </c>
      <c r="C67" s="115"/>
      <c r="D67" s="137" t="s">
        <v>527</v>
      </c>
      <c r="E67" s="7"/>
    </row>
    <row r="68" spans="2:5" ht="35.25" customHeight="1" x14ac:dyDescent="0.2">
      <c r="B68" s="134" t="s">
        <v>507</v>
      </c>
      <c r="C68" s="115"/>
      <c r="D68" s="137" t="s">
        <v>528</v>
      </c>
      <c r="E68" s="7"/>
    </row>
    <row r="69" spans="2:5" ht="35.25" customHeight="1" x14ac:dyDescent="0.2">
      <c r="B69" s="134" t="s">
        <v>507</v>
      </c>
      <c r="C69" s="115"/>
      <c r="D69" s="137" t="s">
        <v>529</v>
      </c>
      <c r="E69" s="7"/>
    </row>
    <row r="70" spans="2:5" ht="35.25" customHeight="1" x14ac:dyDescent="0.2">
      <c r="B70" s="134" t="s">
        <v>507</v>
      </c>
      <c r="C70" s="115"/>
      <c r="D70" s="137" t="s">
        <v>530</v>
      </c>
      <c r="E70" s="7"/>
    </row>
    <row r="71" spans="2:5" ht="35.25" customHeight="1" x14ac:dyDescent="0.2">
      <c r="B71" s="134" t="s">
        <v>507</v>
      </c>
      <c r="C71" s="115"/>
      <c r="D71" s="137" t="s">
        <v>531</v>
      </c>
      <c r="E71" s="7"/>
    </row>
    <row r="72" spans="2:5" ht="35.25" customHeight="1" x14ac:dyDescent="0.2">
      <c r="B72" s="134" t="s">
        <v>507</v>
      </c>
      <c r="C72" s="115"/>
      <c r="D72" s="137" t="s">
        <v>532</v>
      </c>
      <c r="E72" s="7"/>
    </row>
    <row r="73" spans="2:5" ht="35.25" customHeight="1" x14ac:dyDescent="0.2">
      <c r="B73" s="134" t="s">
        <v>507</v>
      </c>
      <c r="C73" s="115"/>
      <c r="D73" s="137" t="s">
        <v>533</v>
      </c>
      <c r="E73" s="7"/>
    </row>
    <row r="74" spans="2:5" ht="35.25" customHeight="1" x14ac:dyDescent="0.2">
      <c r="B74" s="134" t="s">
        <v>507</v>
      </c>
      <c r="C74" s="115"/>
      <c r="D74" s="137" t="s">
        <v>534</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505</v>
      </c>
      <c r="C78" s="115"/>
      <c r="D78" s="137" t="s">
        <v>527</v>
      </c>
      <c r="E78" s="7"/>
    </row>
    <row r="79" spans="2:5" ht="35.25" customHeight="1" x14ac:dyDescent="0.2">
      <c r="B79" s="134" t="s">
        <v>507</v>
      </c>
      <c r="C79" s="115"/>
      <c r="D79" s="137" t="s">
        <v>535</v>
      </c>
      <c r="E79" s="7"/>
    </row>
    <row r="80" spans="2:5" ht="35.25" customHeight="1" x14ac:dyDescent="0.2">
      <c r="B80" s="134" t="s">
        <v>507</v>
      </c>
      <c r="C80" s="115"/>
      <c r="D80" s="137" t="s">
        <v>536</v>
      </c>
      <c r="E80" s="7"/>
    </row>
    <row r="81" spans="2:5" ht="35.25" customHeight="1" x14ac:dyDescent="0.2">
      <c r="B81" s="134" t="s">
        <v>507</v>
      </c>
      <c r="C81" s="115"/>
      <c r="D81" s="137" t="s">
        <v>537</v>
      </c>
      <c r="E81" s="7"/>
    </row>
    <row r="82" spans="2:5" ht="35.25" customHeight="1" x14ac:dyDescent="0.2">
      <c r="B82" s="134" t="s">
        <v>507</v>
      </c>
      <c r="C82" s="115"/>
      <c r="D82" s="137" t="s">
        <v>538</v>
      </c>
      <c r="E82" s="7"/>
    </row>
    <row r="83" spans="2:5" ht="35.25" customHeight="1" x14ac:dyDescent="0.2">
      <c r="B83" s="134" t="s">
        <v>507</v>
      </c>
      <c r="C83" s="115"/>
      <c r="D83" s="137" t="s">
        <v>539</v>
      </c>
      <c r="E83" s="7"/>
    </row>
    <row r="84" spans="2:5" ht="35.25" customHeight="1" x14ac:dyDescent="0.2">
      <c r="B84" s="134" t="s">
        <v>507</v>
      </c>
      <c r="C84" s="115"/>
      <c r="D84" s="137" t="s">
        <v>540</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505</v>
      </c>
      <c r="C89" s="115"/>
      <c r="D89" s="137" t="s">
        <v>527</v>
      </c>
      <c r="E89" s="7"/>
    </row>
    <row r="90" spans="2:5" ht="35.25" customHeight="1" x14ac:dyDescent="0.2">
      <c r="B90" s="134" t="s">
        <v>507</v>
      </c>
      <c r="C90" s="115"/>
      <c r="D90" s="137" t="s">
        <v>541</v>
      </c>
      <c r="E90" s="7"/>
    </row>
    <row r="91" spans="2:5" ht="35.25" customHeight="1" x14ac:dyDescent="0.2">
      <c r="B91" s="134" t="s">
        <v>507</v>
      </c>
      <c r="C91" s="115"/>
      <c r="D91" s="137" t="s">
        <v>542</v>
      </c>
      <c r="E91" s="7"/>
    </row>
    <row r="92" spans="2:5" ht="35.25" customHeight="1" x14ac:dyDescent="0.2">
      <c r="B92" s="134" t="s">
        <v>507</v>
      </c>
      <c r="C92" s="115"/>
      <c r="D92" s="137" t="s">
        <v>543</v>
      </c>
      <c r="E92" s="7"/>
    </row>
    <row r="93" spans="2:5" ht="35.25" customHeight="1" x14ac:dyDescent="0.2">
      <c r="B93" s="134" t="s">
        <v>507</v>
      </c>
      <c r="C93" s="115"/>
      <c r="D93" s="137" t="s">
        <v>544</v>
      </c>
      <c r="E93" s="7"/>
    </row>
    <row r="94" spans="2:5" ht="35.25" customHeight="1" x14ac:dyDescent="0.2">
      <c r="B94" s="134" t="s">
        <v>507</v>
      </c>
      <c r="C94" s="115"/>
      <c r="D94" s="137" t="s">
        <v>545</v>
      </c>
      <c r="E94" s="7"/>
    </row>
    <row r="95" spans="2:5" ht="35.25" customHeight="1" x14ac:dyDescent="0.2">
      <c r="B95" s="134" t="s">
        <v>507</v>
      </c>
      <c r="C95" s="115"/>
      <c r="D95" s="137" t="s">
        <v>546</v>
      </c>
      <c r="E95" s="7"/>
    </row>
    <row r="96" spans="2:5" ht="35.25" customHeight="1" x14ac:dyDescent="0.2">
      <c r="B96" s="134" t="s">
        <v>507</v>
      </c>
      <c r="C96" s="115"/>
      <c r="D96" s="137" t="s">
        <v>534</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505</v>
      </c>
      <c r="C100" s="115"/>
      <c r="D100" s="137" t="s">
        <v>527</v>
      </c>
      <c r="E100" s="7"/>
    </row>
    <row r="101" spans="2:5" ht="35.25" customHeight="1" x14ac:dyDescent="0.2">
      <c r="B101" s="134" t="s">
        <v>507</v>
      </c>
      <c r="C101" s="115"/>
      <c r="D101" s="137" t="s">
        <v>547</v>
      </c>
      <c r="E101" s="7"/>
    </row>
    <row r="102" spans="2:5" ht="35.25" customHeight="1" x14ac:dyDescent="0.2">
      <c r="B102" s="134" t="s">
        <v>507</v>
      </c>
      <c r="C102" s="115"/>
      <c r="D102" s="137" t="s">
        <v>548</v>
      </c>
      <c r="E102" s="7"/>
    </row>
    <row r="103" spans="2:5" ht="35.25" customHeight="1" x14ac:dyDescent="0.2">
      <c r="B103" s="134" t="s">
        <v>507</v>
      </c>
      <c r="C103" s="115"/>
      <c r="D103" s="137" t="s">
        <v>549</v>
      </c>
      <c r="E103" s="7"/>
    </row>
    <row r="104" spans="2:5" ht="35.25" customHeight="1" x14ac:dyDescent="0.2">
      <c r="B104" s="134" t="s">
        <v>507</v>
      </c>
      <c r="C104" s="115"/>
      <c r="D104" s="137" t="s">
        <v>550</v>
      </c>
      <c r="E104" s="7"/>
    </row>
    <row r="105" spans="2:5" ht="35.25" customHeight="1" x14ac:dyDescent="0.2">
      <c r="B105" s="134" t="s">
        <v>507</v>
      </c>
      <c r="C105" s="115"/>
      <c r="D105" s="137" t="s">
        <v>551</v>
      </c>
      <c r="E105" s="7"/>
    </row>
    <row r="106" spans="2:5" ht="35.25" customHeight="1" x14ac:dyDescent="0.2">
      <c r="B106" s="134" t="s">
        <v>507</v>
      </c>
      <c r="C106" s="115"/>
      <c r="D106" s="137" t="s">
        <v>552</v>
      </c>
      <c r="E106" s="7"/>
    </row>
    <row r="107" spans="2:5" ht="35.25" customHeight="1" x14ac:dyDescent="0.2">
      <c r="B107" s="134" t="s">
        <v>507</v>
      </c>
      <c r="C107" s="115"/>
      <c r="D107" s="137" t="s">
        <v>553</v>
      </c>
      <c r="E107" s="7"/>
    </row>
    <row r="108" spans="2:5" ht="35.25" customHeight="1" x14ac:dyDescent="0.2">
      <c r="B108" s="134" t="s">
        <v>507</v>
      </c>
      <c r="C108" s="115"/>
      <c r="D108" s="137" t="s">
        <v>554</v>
      </c>
      <c r="E108" s="7"/>
    </row>
    <row r="109" spans="2:5" ht="35.25" customHeight="1" x14ac:dyDescent="0.2">
      <c r="B109" s="134" t="s">
        <v>507</v>
      </c>
      <c r="C109" s="115"/>
      <c r="D109" s="137" t="s">
        <v>555</v>
      </c>
      <c r="E109" s="7"/>
    </row>
    <row r="110" spans="2:5" s="5" customFormat="1" ht="15" x14ac:dyDescent="0.25">
      <c r="B110" s="174" t="s">
        <v>100</v>
      </c>
      <c r="C110" s="175"/>
      <c r="D110" s="176"/>
      <c r="E110" s="27"/>
    </row>
    <row r="111" spans="2:5" s="5" customFormat="1" ht="35.25" customHeight="1" x14ac:dyDescent="0.2">
      <c r="B111" s="134" t="s">
        <v>505</v>
      </c>
      <c r="C111" s="115"/>
      <c r="D111" s="137" t="s">
        <v>527</v>
      </c>
      <c r="E111" s="27"/>
    </row>
    <row r="112" spans="2:5" s="5" customFormat="1" ht="35.25" customHeight="1" x14ac:dyDescent="0.2">
      <c r="B112" s="134" t="s">
        <v>507</v>
      </c>
      <c r="C112" s="115"/>
      <c r="D112" s="137" t="s">
        <v>556</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505</v>
      </c>
      <c r="C123" s="113"/>
      <c r="D123" s="137" t="s">
        <v>557</v>
      </c>
      <c r="E123" s="7"/>
    </row>
    <row r="124" spans="2:5" s="5" customFormat="1" ht="35.25" customHeight="1" x14ac:dyDescent="0.2">
      <c r="B124" s="134" t="s">
        <v>505</v>
      </c>
      <c r="C124" s="113"/>
      <c r="D124" s="137" t="s">
        <v>519</v>
      </c>
      <c r="E124" s="27"/>
    </row>
    <row r="125" spans="2:5" s="5" customFormat="1" ht="35.25" customHeight="1" x14ac:dyDescent="0.2">
      <c r="B125" s="134" t="s">
        <v>507</v>
      </c>
      <c r="C125" s="113"/>
      <c r="D125" s="137" t="s">
        <v>558</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505</v>
      </c>
      <c r="C134" s="113"/>
      <c r="D134" s="137" t="s">
        <v>519</v>
      </c>
      <c r="E134" s="27"/>
    </row>
    <row r="135" spans="2:5" s="5" customFormat="1" ht="35.25" customHeight="1" x14ac:dyDescent="0.2">
      <c r="B135" s="134" t="s">
        <v>507</v>
      </c>
      <c r="C135" s="113"/>
      <c r="D135" s="137" t="s">
        <v>559</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505</v>
      </c>
      <c r="C145" s="113"/>
      <c r="D145" s="137" t="s">
        <v>519</v>
      </c>
      <c r="E145" s="27"/>
    </row>
    <row r="146" spans="2:5" s="5" customFormat="1" ht="35.25" customHeight="1" x14ac:dyDescent="0.2">
      <c r="B146" s="134" t="s">
        <v>507</v>
      </c>
      <c r="C146" s="113"/>
      <c r="D146" s="137" t="s">
        <v>560</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505</v>
      </c>
      <c r="C156" s="113"/>
      <c r="D156" s="137" t="s">
        <v>519</v>
      </c>
      <c r="E156" s="27"/>
    </row>
    <row r="157" spans="2:5" s="5" customFormat="1" ht="35.25" customHeight="1" x14ac:dyDescent="0.2">
      <c r="B157" s="134" t="s">
        <v>507</v>
      </c>
      <c r="C157" s="113"/>
      <c r="D157" s="137" t="s">
        <v>561</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505</v>
      </c>
      <c r="C167" s="113"/>
      <c r="D167" s="137" t="s">
        <v>562</v>
      </c>
      <c r="E167" s="27"/>
    </row>
    <row r="168" spans="2:5" s="5" customFormat="1" ht="35.25" customHeight="1" x14ac:dyDescent="0.2">
      <c r="B168" s="134" t="s">
        <v>505</v>
      </c>
      <c r="C168" s="113"/>
      <c r="D168" s="137" t="s">
        <v>519</v>
      </c>
      <c r="E168" s="27"/>
    </row>
    <row r="169" spans="2:5" s="5" customFormat="1" ht="35.25" customHeight="1" x14ac:dyDescent="0.2">
      <c r="B169" s="134" t="s">
        <v>507</v>
      </c>
      <c r="C169" s="113"/>
      <c r="D169" s="137" t="s">
        <v>563</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505</v>
      </c>
      <c r="C178" s="113"/>
      <c r="D178" s="137" t="s">
        <v>519</v>
      </c>
      <c r="E178" s="27"/>
    </row>
    <row r="179" spans="2:5" s="5" customFormat="1" ht="35.25" customHeight="1" x14ac:dyDescent="0.2">
      <c r="B179" s="134" t="s">
        <v>507</v>
      </c>
      <c r="C179" s="113"/>
      <c r="D179" s="137" t="s">
        <v>564</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507</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505</v>
      </c>
      <c r="C200" s="113"/>
      <c r="D200" s="137" t="s">
        <v>565</v>
      </c>
      <c r="E200" s="27"/>
    </row>
    <row r="201" spans="2:5" s="5" customFormat="1" ht="35.25" customHeight="1" x14ac:dyDescent="0.2">
      <c r="B201" s="134" t="s">
        <v>507</v>
      </c>
      <c r="C201" s="113"/>
      <c r="D201" s="137" t="s">
        <v>566</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2016-07-26T17:46:32Z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