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9" i="10"/>
  <c r="L58" i="10" s="1"/>
  <c r="L36" i="10"/>
  <c r="L35" i="10"/>
  <c r="L16" i="10"/>
  <c r="L10" i="10"/>
  <c r="K41" i="10"/>
  <c r="J16" i="10"/>
  <c r="K16" i="10" s="1"/>
  <c r="J11" i="10"/>
  <c r="K11" i="10" s="1"/>
  <c r="J10" i="10"/>
  <c r="K10" i="10" s="1"/>
  <c r="J6" i="10"/>
  <c r="G60" i="10"/>
  <c r="G59" i="10"/>
  <c r="G58" i="10" s="1"/>
  <c r="G36" i="10"/>
  <c r="G35" i="10"/>
  <c r="G16" i="10"/>
  <c r="G10" i="10"/>
  <c r="G9" i="10"/>
  <c r="G8" i="10"/>
  <c r="G6" i="10"/>
  <c r="F41" i="10"/>
  <c r="F10" i="10"/>
  <c r="E16" i="10"/>
  <c r="F16" i="10" s="1"/>
  <c r="E11" i="10"/>
  <c r="F11" i="10" s="1"/>
  <c r="E10" i="10"/>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K5" i="4"/>
  <c r="J15" i="10" s="1"/>
  <c r="J60" i="4"/>
  <c r="J22" i="4"/>
  <c r="J12" i="4"/>
  <c r="J5" i="4"/>
  <c r="I60" i="4"/>
  <c r="I22" i="4"/>
  <c r="I12" i="4"/>
  <c r="I5" i="4"/>
  <c r="G15" i="10" s="1"/>
  <c r="H60" i="4"/>
  <c r="H22" i="4"/>
  <c r="H12" i="4"/>
  <c r="H5" i="4"/>
  <c r="G60" i="4"/>
  <c r="G22" i="4"/>
  <c r="G12" i="4"/>
  <c r="G5" i="4"/>
  <c r="F60" i="4"/>
  <c r="F22" i="4"/>
  <c r="F12" i="4"/>
  <c r="F5" i="4"/>
  <c r="E60" i="4"/>
  <c r="E22" i="4"/>
  <c r="E12" i="4"/>
  <c r="E6" i="10" s="1"/>
  <c r="E5" i="4"/>
  <c r="E7" i="10" s="1"/>
  <c r="F7" i="10" s="1"/>
  <c r="D60" i="4"/>
  <c r="D22" i="4"/>
  <c r="D12" i="4"/>
  <c r="D5" i="4"/>
  <c r="L20" i="10" l="1"/>
  <c r="X6" i="10"/>
  <c r="U17" i="10" s="1"/>
  <c r="F6" i="10"/>
  <c r="O12" i="10"/>
  <c r="P12" i="10" s="1"/>
  <c r="P6" i="10"/>
  <c r="K15" i="10"/>
  <c r="P15" i="10"/>
  <c r="P17" i="10" s="1"/>
  <c r="O17" i="10"/>
  <c r="I12" i="10"/>
  <c r="T6" i="10"/>
  <c r="H12" i="10"/>
  <c r="K6" i="10"/>
  <c r="H17" i="10" s="1"/>
  <c r="X15" i="10"/>
  <c r="L15" i="10"/>
  <c r="L19" i="10"/>
  <c r="AB6" i="10"/>
  <c r="AB13" i="10" s="1"/>
  <c r="AA13" i="10"/>
  <c r="J38" i="10"/>
  <c r="I17" i="10"/>
  <c r="I45" i="10" s="1"/>
  <c r="J12" i="10"/>
  <c r="O45" i="10"/>
  <c r="AB38" i="10"/>
  <c r="E15" i="10"/>
  <c r="J7" i="10"/>
  <c r="K7" i="10" s="1"/>
  <c r="O7" i="10"/>
  <c r="P7" i="10" s="1"/>
  <c r="S15" i="10"/>
  <c r="W7" i="10"/>
  <c r="X7" i="10" s="1"/>
  <c r="AA15" i="10"/>
  <c r="P38" i="10"/>
  <c r="G7" i="10"/>
  <c r="G19" i="10" s="1"/>
  <c r="H45" i="10" l="1"/>
  <c r="K12" i="10"/>
  <c r="D12" i="10"/>
  <c r="U46" i="10"/>
  <c r="G32" i="10"/>
  <c r="S38" i="10"/>
  <c r="C12" i="10"/>
  <c r="P53" i="10"/>
  <c r="E11" i="16" s="1"/>
  <c r="P39" i="10"/>
  <c r="P52" i="10"/>
  <c r="P45" i="10"/>
  <c r="P42" i="10"/>
  <c r="T15" i="10"/>
  <c r="T17" i="10" s="1"/>
  <c r="AB42" i="10"/>
  <c r="AB39" i="10"/>
  <c r="AB52" i="10"/>
  <c r="AB46" i="10"/>
  <c r="G24" i="10"/>
  <c r="R13" i="10"/>
  <c r="J17" i="10"/>
  <c r="J45" i="10" s="1"/>
  <c r="V13" i="10"/>
  <c r="W38" i="10"/>
  <c r="E17" i="10"/>
  <c r="F15" i="10"/>
  <c r="F17" i="10" s="1"/>
  <c r="W17" i="10"/>
  <c r="G23" i="10"/>
  <c r="G20" i="10"/>
  <c r="V17" i="10"/>
  <c r="V46" i="10" s="1"/>
  <c r="X17" i="10"/>
  <c r="G27" i="10"/>
  <c r="E38" i="10"/>
  <c r="W13" i="10"/>
  <c r="K38" i="10"/>
  <c r="S13" i="10"/>
  <c r="AA17" i="10"/>
  <c r="AA46" i="10" s="1"/>
  <c r="AB15" i="10"/>
  <c r="AB17" i="10" s="1"/>
  <c r="AB53" i="10" s="1"/>
  <c r="H11" i="16" s="1"/>
  <c r="L32" i="10"/>
  <c r="L27" i="10"/>
  <c r="L23" i="10"/>
  <c r="L22" i="10"/>
  <c r="L24" i="10"/>
  <c r="K17" i="10"/>
  <c r="D17" i="10"/>
  <c r="D45" i="10" s="1"/>
  <c r="U13" i="10"/>
  <c r="L21" i="10" l="1"/>
  <c r="L26" i="10" s="1"/>
  <c r="L25" i="10" s="1"/>
  <c r="L28" i="10" s="1"/>
  <c r="L30" i="10"/>
  <c r="L31" i="10" s="1"/>
  <c r="L29" i="10" s="1"/>
  <c r="L33" i="10" s="1"/>
  <c r="L34" i="10" s="1"/>
  <c r="S46" i="10"/>
  <c r="T38" i="10"/>
  <c r="G22" i="10"/>
  <c r="W46" i="10"/>
  <c r="X38" i="10"/>
  <c r="Q17" i="10"/>
  <c r="R17" i="10"/>
  <c r="R46" i="10" s="1"/>
  <c r="S17" i="10"/>
  <c r="E12" i="10"/>
  <c r="E45" i="10"/>
  <c r="F38" i="10"/>
  <c r="AB48" i="10"/>
  <c r="AB51" i="10" s="1"/>
  <c r="AB47" i="10"/>
  <c r="P47" i="10"/>
  <c r="P48" i="10"/>
  <c r="P51" i="10" s="1"/>
  <c r="K53" i="10"/>
  <c r="D11" i="16" s="1"/>
  <c r="K39" i="10"/>
  <c r="K42" i="10"/>
  <c r="K52" i="10"/>
  <c r="K45" i="10"/>
  <c r="C17" i="10"/>
  <c r="Q13" i="10"/>
  <c r="X13" i="10"/>
  <c r="C45" i="10" l="1"/>
  <c r="F39" i="10" s="1"/>
  <c r="F12" i="10"/>
  <c r="K47" i="10"/>
  <c r="K48" i="10"/>
  <c r="K51" i="10" s="1"/>
  <c r="F42" i="10"/>
  <c r="F53" i="10"/>
  <c r="C11" i="16" s="1"/>
  <c r="F52" i="10"/>
  <c r="F45" i="10"/>
  <c r="X53" i="10"/>
  <c r="G11" i="16" s="1"/>
  <c r="X39" i="10"/>
  <c r="X52" i="10"/>
  <c r="X46" i="10"/>
  <c r="X42" i="10"/>
  <c r="G21" i="10"/>
  <c r="G26" i="10" s="1"/>
  <c r="G25" i="10" s="1"/>
  <c r="G28" i="10" s="1"/>
  <c r="G30" i="10"/>
  <c r="G31" i="10" s="1"/>
  <c r="G29" i="10" s="1"/>
  <c r="G33" i="10" s="1"/>
  <c r="G34" i="10" s="1"/>
  <c r="Q46" i="10"/>
  <c r="T39" i="10" s="1"/>
  <c r="T13" i="10"/>
  <c r="T42" i="10"/>
  <c r="T53" i="10"/>
  <c r="F11" i="16" s="1"/>
  <c r="T46" i="10"/>
  <c r="T52" i="10"/>
  <c r="X47" i="10" l="1"/>
  <c r="X48" i="10"/>
  <c r="X51" i="10" s="1"/>
  <c r="F47" i="10"/>
  <c r="F48" i="10"/>
  <c r="F51" i="10" s="1"/>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<sst xmlns="http://schemas.openxmlformats.org/spreadsheetml/2006/main" count="570" uniqueCount="508">
  <si>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</si>
  <si>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</si>
  <si>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</si>
  <si>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</si>
  <si>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</si>
  <si>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</si>
  <si>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</si>
  <si>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</si>
  <si>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</si>
  <si>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</si>
  <si>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</si>
  <si>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</si>
  <si>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</si>
  <si>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</si>
  <si>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</si>
  <si>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</si>
  <si>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</si>
  <si>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</si>
  <si>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</si>
  <si>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</si>
  <si>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</si>
  <si>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</si>
  <si>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</si>
  <si>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</si>
  <si>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</si>
  <si>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</si>
  <si>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</si>
  <si>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</si>
  <si>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</si>
  <si>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</si>
  <si>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</si>
  <si>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</si>
  <si>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</si>
  <si>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</si>
  <si>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</si>
  <si>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</si>
  <si>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</si>
  <si>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</si>
  <si>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</si>
  <si>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</si>
  <si>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</si>
  <si>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</si>
  <si>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</si>
  <si>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</si>
  <si>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</si>
  <si>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</si>
  <si>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</si>
  <si>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</si>
  <si>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</si>
  <si>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</si>
  <si>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</si>
  <si>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</si>
  <si>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</si>
  <si>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</si>
  <si>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</si>
  <si>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</si>
  <si>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</si>
  <si>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</si>
  <si>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</si>
  <si>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</si>
  <si>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</si>
  <si>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</si>
  <si>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</si>
  <si>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</si>
  <si>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</si>
  <si>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</si>
  <si>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</si>
  <si>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</si>
  <si>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</si>
  <si>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</si>
  <si>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</si>
  <si>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</si>
  <si>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</si>
  <si>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</si>
  <si>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</si>
  <si>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</si>
  <si>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</si>
  <si>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</si>
  <si>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</si>
  <si>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</si>
  <si>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</si>
  <si>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</si>
  <si>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</si>
  <si>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</si>
  <si>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</si>
  <si>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</si>
  <si>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</si>
  <si>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</si>
  <si>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</si>
  <si>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</si>
  <si>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</si>
  <si>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</si>
  <si>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</si>
  <si>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</si>
  <si>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</si>
  <si>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</si>
  <si>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</si>
  <si>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</si>
  <si>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</si>
  <si>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</si>
  <si>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</si>
  <si>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</si>
  <si>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</si>
  <si>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</si>
  <si>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</si>
  <si>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</si>
  <si>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</si>
  <si>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</si>
  <si>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</si>
  <si>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</si>
  <si>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</si>
  <si>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</si>
  <si>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</si>
  <si>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</si>
  <si>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</si>
  <si>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</si>
  <si>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</si>
  <si>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</si>
  <si>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</si>
  <si>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</si>
  <si>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</si>
  <si>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</si>
  <si>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</si>
  <si>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</si>
  <si>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</si>
  <si>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</si>
  <si>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</si>
  <si>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</si>
  <si>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</si>
  <si>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</si>
  <si>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</si>
  <si>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</si>
  <si>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</si>
  <si>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</si>
  <si>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</si>
  <si>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</si>
  <si>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</si>
  <si>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</si>
  <si>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</si>
  <si>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</si>
  <si>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</si>
  <si>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</si>
  <si>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</si>
  <si>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</si>
  <si>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</si>
  <si>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</si>
  <si>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</si>
  <si>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</si>
  <si>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</si>
  <si>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</si>
  <si>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</si>
  <si>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</si>
  <si>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</si>
  <si>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</si>
  <si>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</si>
  <si>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</si>
  <si>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</si>
  <si>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</si>
  <si>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</si>
  <si>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</si>
  <si>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</si>
  <si>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</si>
  <si>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</si>
  <si>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</si>
  <si>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</si>
  <si>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</si>
  <si>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</si>
  <si>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</si>
  <si>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</si>
  <si>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</si>
  <si>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</si>
  <si>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</si>
  <si>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</si>
  <si>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</si>
  <si>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</si>
  <si>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</si>
  <si>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</si>
  <si>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</si>
  <si>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</si>
  <si>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</si>
  <si>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</si>
  <si>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</si>
  <si>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</si>
  <si>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</si>
  <si>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</si>
  <si>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</si>
  <si>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</si>
  <si>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</si>
  <si>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</si>
  <si>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</si>
  <si>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</si>
  <si>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</si>
  <si>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</si>
  <si>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</si>
  <si>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</si>
  <si>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</si>
  <si>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</si>
  <si>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</si>
  <si>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</si>
  <si>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</si>
  <si>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</si>
  <si>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</si>
  <si>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</si>
  <si>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</si>
  <si>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</si>
  <si>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</si>
  <si>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</si>
  <si>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</si>
  <si>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</si>
  <si>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</si>
  <si>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</si>
  <si>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</si>
  <si>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</si>
  <si>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</si>
  <si>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</si>
  <si>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</si>
  <si>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</si>
  <si>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</si>
  <si>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</si>
  <si>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</si>
  <si>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</si>
  <si>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</si>
  <si>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</si>
  <si>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</si>
  <si>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</si>
  <si>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</si>
  <si>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</si>
  <si>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</si>
  <si>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</si>
  <si>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</si>
  <si>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</si>
  <si>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</si>
  <si>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</si>
  <si>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</si>
  <si>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</si>
  <si>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</si>
  <si>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</si>
  <si>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</si>
  <si>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</si>
  <si>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</si>
  <si>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</si>
  <si>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</si>
  <si>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</si>
  <si>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</si>
  <si>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</si>
  <si>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</si>
  <si>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</si>
  <si>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</si>
  <si>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</si>
  <si>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</si>
  <si>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</si>
  <si>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</si>
  <si>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</si>
  <si>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</si>
  <si>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</si>
  <si>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</si>
  <si>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</si>
  <si>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</si>
  <si>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</si>
  <si>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</si>
  <si>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</si>
  <si>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</si>
  <si>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</si>
  <si>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</si>
  <si>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</si>
  <si>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</si>
  <si>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</si>
  <si>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</si>
  <si>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</si>
  <si>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</si>
  <si>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</si>
  <si>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</si>
  <si>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</si>
  <si>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</si>
  <si>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</si>
  <si>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</si>
  <si>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</si>
  <si>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</si>
  <si>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</si>
  <si>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</si>
  <si>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</si>
  <si>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</si>
  <si>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</si>
  <si>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</si>
  <si>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</si>
  <si>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</si>
  <si>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</si>
  <si>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</si>
  <si>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</si>
  <si>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</si>
  <si>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</si>
  <si>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</si>
  <si>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</si>
  <si>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</si>
  <si>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</si>
  <si>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</si>
  <si>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</si>
  <si>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</si>
  <si>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</si>
  <si>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</si>
  <si>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</si>
  <si>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</si>
  <si>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</si>
  <si>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</si>
  <si>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</si>
  <si>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</si>
  <si>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</si>
  <si>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</si>
  <si>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</si>
  <si>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</si>
  <si>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</si>
  <si>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</si>
  <si>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</si>
  <si>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</si>
  <si>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</si>
  <si>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</si>
  <si>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</si>
  <si>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</si>
  <si>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</si>
  <si>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</si>
  <si>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</si>
  <si>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</si>
  <si>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</si>
  <si>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</si>
  <si>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</si>
  <si>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</si>
  <si>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</si>
  <si>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</si>
  <si>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</si>
  <si>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</si>
  <si>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</si>
  <si>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</si>
  <si>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</si>
  <si>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</si>
  <si>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</si>
  <si>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</si>
  <si>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</si>
  <si>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</si>
  <si>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</si>
  <si>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</si>
  <si>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</si>
  <si>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</si>
  <si>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</si>
  <si>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</si>
  <si>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</si>
  <si>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</si>
  <si>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</si>
  <si>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</si>
  <si>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</si>
  <si>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</si>
  <si>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</si>
  <si>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</si>
  <si>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</si>
  <si>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</si>
  <si>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</si>
  <si>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</si>
  <si>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</si>
  <si>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</si>
  <si>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</si>
  <si>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</si>
  <si>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</si>
  <si>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</si>
  <si>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</si>
  <si>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</si>
  <si>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</si>
  <si>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</si>
  <si>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</si>
  <si>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</si>
  <si>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</si>
  <si>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</si>
  <si>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</si>
  <si>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</si>
  <si>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</si>
  <si>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</si>
  <si>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</si>
  <si>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</si>
  <si>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</si>
  <si>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</si>
  <si>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</si>
  <si>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</si>
  <si>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</si>
  <si>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</si>
  <si>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</si>
  <si>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</si>
  <si>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</si>
  <si>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</si>
  <si>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</si>
  <si>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</si>
  <si>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</si>
  <si>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</si>
  <si>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</si>
  <si>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</si>
  <si>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</si>
  <si>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</si>
  <si>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</si>
  <si>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</si>
  <si>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</si>
  <si>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</si>
  <si>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</si>
  <si>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</si>
  <si>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</si>
  <si>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</si>
  <si>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</si>
  <si>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</si>
  <si>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</si>
  <si>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</si>
  <si>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</si>
  <si>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</si>
  <si>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</si>
  <si>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</si>
  <si>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</si>
  <si>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</si>
  <si>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</si>
  <si>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</si>
  <si>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</si>
  <si>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</si>
  <si>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</si>
  <si>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</si>
  <si>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</si>
  <si>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</si>
  <si>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</si>
  <si>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</si>
  <si>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</si>
  <si>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</si>
  <si>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</si>
  <si>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</si>
  <si>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</si>
  <si>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</si>
  <si>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</si>
  <si>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</si>
  <si>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</si>
  <si>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</si>
  <si>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</si>
  <si>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</si>
  <si>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</si>
  <si>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</si>
  <si>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</si>
  <si>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</si>
  <si>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</si>
  <si>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</si>
  <si>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</si>
  <si>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</si>
  <si>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</si>
  <si>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</si>
  <si>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</si>
  <si>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</si>
  <si>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</si>
  <si>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</si>
  <si>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</si>
  <si>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</si>
  <si>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</si>
  <si>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</si>
  <si>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</si>
  <si>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</si>
  <si>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</si>
  <si>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</si>
  <si>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</si>
  <si>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</si>
  <si>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</si>
  <si>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</si>
  <si>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</si>
  <si>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</si>
  <si>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</si>
  <si>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</si>
  <si>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</si>
  <si>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</si>
  <si>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</si>
  <si>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</si>
  <si>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</si>
  <si>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</si>
  <si>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</si>
  <si>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</si>
  <si>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</si>
  <si>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</si>
  <si>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</si>
  <si>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</si>
  <si>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</si>
  <si>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</si>
  <si>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</si>
  <si>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</si>
  <si>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</si>
  <si>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</si>
  <si>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</si>
  <si>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</si>
  <si>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</si>
  <si>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</si>
  <si>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</si>
  <si>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</si>
  <si>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</si>
  <si>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</si>
  <si>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</si>
  <si>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</si>
  <si>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</si>
  <si>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</si>
  <si>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</si>
  <si>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</si>
  <si>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Connecticut, Inc.</t>
  </si>
  <si>
    <t>Cigna Hlth Grp</t>
  </si>
  <si>
    <t>N/A</t>
  </si>
  <si>
    <t>00901</t>
  </si>
  <si>
    <t>2015</t>
  </si>
  <si>
    <t>900 Cottage Grove Road Bloomfield, CT 06002</t>
  </si>
  <si>
    <t>061141174</t>
  </si>
  <si>
    <t>068865</t>
  </si>
  <si>
    <t>95660</t>
  </si>
  <si>
    <t>98047</t>
  </si>
  <si>
    <t>102</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</si>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</sst>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23775</v>
      </c>
      <c r="E5" s="219">
        <f>SUM('Pt 2 Premium and Claims'!E$5,'Pt 2 Premium and Claims'!E$6,-'Pt 2 Premium and Claims'!E$7,-'Pt 2 Premium and Claims'!E$13,'Pt 2 Premium and Claims'!E$14:'Pt 2 Premium and Claims'!E$17)</f>
        <v>23775</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206356</v>
      </c>
      <c r="Q5" s="219">
        <f>SUM('Pt 2 Premium and Claims'!Q$5,'Pt 2 Premium and Claims'!Q$6,-'Pt 2 Premium and Claims'!Q$7,-'Pt 2 Premium and Claims'!Q$13,'Pt 2 Premium and Claims'!Q$14)</f>
        <v>203241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9916269</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-3524</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4800</v>
      </c>
      <c r="E12" s="219">
        <f>'Pt 2 Premium and Claims'!E$54</f>
        <v>4658</v>
      </c>
      <c r="F12" s="219">
        <f>'Pt 2 Premium and Claims'!F$54</f>
        <v>0</v>
      </c>
      <c r="G12" s="219">
        <f>'Pt 2 Premium and Claims'!G$54</f>
        <v>0</v>
      </c>
      <c r="H12" s="219">
        <f>'Pt 2 Premium and Claims'!H$54</f>
        <v>0</v>
      </c>
      <c r="I12" s="218">
        <f>'Pt 2 Premium and Claims'!I$54</f>
        <v>0</v>
      </c>
      <c r="J12" s="218">
        <f>'Pt 2 Premium and Claims'!J$54</f>
        <v>8123</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156181</v>
      </c>
      <c r="Q12" s="219">
        <f>'Pt 2 Premium and Claims'!Q$54</f>
        <v>205176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5545644</v>
      </c>
      <c r="AU12" s="220">
        <f>'Pt 2 Premium and Claims'!AU$54</f>
        <v>0</v>
      </c>
      <c r="AV12" s="297"/>
      <c r="AW12" s="302"/>
    </row>
    <row r="13" spans="1:49" ht="25.5" x14ac:dyDescent="0.2">
      <c r="B13" s="245" t="s">
        <v>230</v>
      </c>
      <c r="C13" s="209" t="s">
        <v>37</v>
      </c>
      <c r="D13" s="222">
        <v>889</v>
      </c>
      <c r="E13" s="223">
        <v>987</v>
      </c>
      <c r="F13" s="223"/>
      <c r="G13" s="274"/>
      <c r="H13" s="275"/>
      <c r="I13" s="222">
        <v>0</v>
      </c>
      <c r="J13" s="222">
        <v>0</v>
      </c>
      <c r="K13" s="223">
        <v>0</v>
      </c>
      <c r="L13" s="223"/>
      <c r="M13" s="274"/>
      <c r="N13" s="275"/>
      <c r="O13" s="222"/>
      <c r="P13" s="222">
        <v>10030</v>
      </c>
      <c r="Q13" s="223">
        <v>8928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907</v>
      </c>
      <c r="E25" s="223">
        <v>907</v>
      </c>
      <c r="F25" s="223"/>
      <c r="G25" s="223"/>
      <c r="H25" s="223"/>
      <c r="I25" s="222">
        <v>0</v>
      </c>
      <c r="J25" s="222">
        <v>-2636</v>
      </c>
      <c r="K25" s="223">
        <v>-2636</v>
      </c>
      <c r="L25" s="223"/>
      <c r="M25" s="223"/>
      <c r="N25" s="223"/>
      <c r="O25" s="222"/>
      <c r="P25" s="222">
        <v>-38261</v>
      </c>
      <c r="Q25" s="223">
        <v>-38261</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1194638</v>
      </c>
      <c r="AU25" s="226">
        <v>0</v>
      </c>
      <c r="AV25" s="226">
        <v>0</v>
      </c>
      <c r="AW25" s="303"/>
    </row>
    <row r="26" spans="1:49" s="11" customFormat="1" x14ac:dyDescent="0.2">
      <c r="A26" s="41"/>
      <c r="B26" s="248" t="s">
        <v>242</v>
      </c>
      <c r="C26" s="209"/>
      <c r="D26" s="222">
        <v>4</v>
      </c>
      <c r="E26" s="223">
        <v>4</v>
      </c>
      <c r="F26" s="223"/>
      <c r="G26" s="223"/>
      <c r="H26" s="223"/>
      <c r="I26" s="222">
        <v>0</v>
      </c>
      <c r="J26" s="222">
        <v>0</v>
      </c>
      <c r="K26" s="223">
        <v>0</v>
      </c>
      <c r="L26" s="223"/>
      <c r="M26" s="223"/>
      <c r="N26" s="223"/>
      <c r="O26" s="222"/>
      <c r="P26" s="222">
        <v>290</v>
      </c>
      <c r="Q26" s="223">
        <v>290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243</v>
      </c>
      <c r="E27" s="223">
        <v>243</v>
      </c>
      <c r="F27" s="223"/>
      <c r="G27" s="223"/>
      <c r="H27" s="223"/>
      <c r="I27" s="222">
        <v>0</v>
      </c>
      <c r="J27" s="222">
        <v>0</v>
      </c>
      <c r="K27" s="223">
        <v>0</v>
      </c>
      <c r="L27" s="223"/>
      <c r="M27" s="223"/>
      <c r="N27" s="223"/>
      <c r="O27" s="222"/>
      <c r="P27" s="222">
        <v>4257</v>
      </c>
      <c r="Q27" s="223">
        <v>4257</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173053</v>
      </c>
      <c r="AU27" s="226">
        <v>0</v>
      </c>
      <c r="AV27" s="299"/>
      <c r="AW27" s="303"/>
    </row>
    <row r="28" spans="1:49" s="11" customFormat="1" x14ac:dyDescent="0.2">
      <c r="A28" s="41"/>
      <c r="B28" s="248" t="s">
        <v>244</v>
      </c>
      <c r="C28" s="209"/>
      <c r="D28" s="222">
        <v>36</v>
      </c>
      <c r="E28" s="223">
        <v>36</v>
      </c>
      <c r="F28" s="223"/>
      <c r="G28" s="223"/>
      <c r="H28" s="223"/>
      <c r="I28" s="222">
        <v>0</v>
      </c>
      <c r="J28" s="222">
        <v>0</v>
      </c>
      <c r="K28" s="223">
        <v>0</v>
      </c>
      <c r="L28" s="223"/>
      <c r="M28" s="223"/>
      <c r="N28" s="223"/>
      <c r="O28" s="222"/>
      <c r="P28" s="222">
        <v>624</v>
      </c>
      <c r="Q28" s="223">
        <v>624</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120</v>
      </c>
      <c r="E30" s="223">
        <v>120</v>
      </c>
      <c r="F30" s="223"/>
      <c r="G30" s="223"/>
      <c r="H30" s="223"/>
      <c r="I30" s="222">
        <v>0</v>
      </c>
      <c r="J30" s="222">
        <v>-353</v>
      </c>
      <c r="K30" s="223">
        <v>-353</v>
      </c>
      <c r="L30" s="223"/>
      <c r="M30" s="223"/>
      <c r="N30" s="223"/>
      <c r="O30" s="222"/>
      <c r="P30" s="222">
        <v>-5128</v>
      </c>
      <c r="Q30" s="223">
        <v>-5128</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158901</v>
      </c>
      <c r="AU30" s="226">
        <v>0</v>
      </c>
      <c r="AV30" s="226">
        <v>0</v>
      </c>
      <c r="AW30" s="303"/>
    </row>
    <row r="31" spans="1:49" x14ac:dyDescent="0.2">
      <c r="B31" s="248" t="s">
        <v>247</v>
      </c>
      <c r="C31" s="209"/>
      <c r="D31" s="222">
        <v>13355</v>
      </c>
      <c r="E31" s="223">
        <v>13355</v>
      </c>
      <c r="F31" s="223"/>
      <c r="G31" s="223"/>
      <c r="H31" s="223"/>
      <c r="I31" s="222">
        <v>0</v>
      </c>
      <c r="J31" s="222">
        <v>0</v>
      </c>
      <c r="K31" s="223">
        <v>0</v>
      </c>
      <c r="L31" s="223"/>
      <c r="M31" s="223"/>
      <c r="N31" s="223"/>
      <c r="O31" s="222"/>
      <c r="P31" s="222">
        <v>116111</v>
      </c>
      <c r="Q31" s="223">
        <v>116111</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-37356</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90</v>
      </c>
      <c r="E34" s="223">
        <v>90</v>
      </c>
      <c r="F34" s="223"/>
      <c r="G34" s="223"/>
      <c r="H34" s="223"/>
      <c r="I34" s="222">
        <v>0</v>
      </c>
      <c r="J34" s="222">
        <v>0</v>
      </c>
      <c r="K34" s="223">
        <v>0</v>
      </c>
      <c r="L34" s="223"/>
      <c r="M34" s="223"/>
      <c r="N34" s="223"/>
      <c r="O34" s="222"/>
      <c r="P34" s="222">
        <v>1616</v>
      </c>
      <c r="Q34" s="223">
        <v>1616</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2290</v>
      </c>
      <c r="E35" s="223">
        <v>2290</v>
      </c>
      <c r="F35" s="223"/>
      <c r="G35" s="223"/>
      <c r="H35" s="223"/>
      <c r="I35" s="222">
        <v>0</v>
      </c>
      <c r="J35" s="222">
        <v>0</v>
      </c>
      <c r="K35" s="223">
        <v>0</v>
      </c>
      <c r="L35" s="223"/>
      <c r="M35" s="223"/>
      <c r="N35" s="223"/>
      <c r="O35" s="222"/>
      <c r="P35" s="222">
        <v>40162</v>
      </c>
      <c r="Q35" s="223">
        <v>40162</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8</v>
      </c>
      <c r="E37" s="231">
        <v>12</v>
      </c>
      <c r="F37" s="231"/>
      <c r="G37" s="231"/>
      <c r="H37" s="231"/>
      <c r="I37" s="230">
        <v>0</v>
      </c>
      <c r="J37" s="230">
        <v>0</v>
      </c>
      <c r="K37" s="231">
        <v>0</v>
      </c>
      <c r="L37" s="231"/>
      <c r="M37" s="231"/>
      <c r="N37" s="231"/>
      <c r="O37" s="230"/>
      <c r="P37" s="230">
        <v>191</v>
      </c>
      <c r="Q37" s="231">
        <v>269</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4</v>
      </c>
      <c r="E38" s="223">
        <v>4</v>
      </c>
      <c r="F38" s="223"/>
      <c r="G38" s="223"/>
      <c r="H38" s="223"/>
      <c r="I38" s="222">
        <v>0</v>
      </c>
      <c r="J38" s="222">
        <v>0</v>
      </c>
      <c r="K38" s="223">
        <v>0</v>
      </c>
      <c r="L38" s="223"/>
      <c r="M38" s="223"/>
      <c r="N38" s="223"/>
      <c r="O38" s="222"/>
      <c r="P38" s="222">
        <v>117</v>
      </c>
      <c r="Q38" s="223">
        <v>112</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75</v>
      </c>
      <c r="F39" s="223"/>
      <c r="G39" s="223"/>
      <c r="H39" s="223"/>
      <c r="I39" s="222">
        <v>0</v>
      </c>
      <c r="J39" s="222">
        <v>0</v>
      </c>
      <c r="K39" s="223">
        <v>0</v>
      </c>
      <c r="L39" s="223"/>
      <c r="M39" s="223"/>
      <c r="N39" s="223"/>
      <c r="O39" s="222"/>
      <c r="P39" s="222">
        <v>61</v>
      </c>
      <c r="Q39" s="223">
        <v>1304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2</v>
      </c>
      <c r="E40" s="223">
        <v>2</v>
      </c>
      <c r="F40" s="223"/>
      <c r="G40" s="223"/>
      <c r="H40" s="223"/>
      <c r="I40" s="222">
        <v>0</v>
      </c>
      <c r="J40" s="222">
        <v>0</v>
      </c>
      <c r="K40" s="223">
        <v>0</v>
      </c>
      <c r="L40" s="223"/>
      <c r="M40" s="223"/>
      <c r="N40" s="223"/>
      <c r="O40" s="222"/>
      <c r="P40" s="222">
        <v>82</v>
      </c>
      <c r="Q40" s="223">
        <v>85</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3</v>
      </c>
      <c r="E41" s="223">
        <v>3</v>
      </c>
      <c r="F41" s="223"/>
      <c r="G41" s="223"/>
      <c r="H41" s="223"/>
      <c r="I41" s="222">
        <v>0</v>
      </c>
      <c r="J41" s="222">
        <v>0</v>
      </c>
      <c r="K41" s="223">
        <v>0</v>
      </c>
      <c r="L41" s="223"/>
      <c r="M41" s="223"/>
      <c r="N41" s="223"/>
      <c r="O41" s="222"/>
      <c r="P41" s="222">
        <v>109</v>
      </c>
      <c r="Q41" s="223">
        <v>104</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1808</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2</v>
      </c>
      <c r="Q42" s="223">
        <v>2</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129</v>
      </c>
      <c r="E44" s="231">
        <v>225</v>
      </c>
      <c r="F44" s="231"/>
      <c r="G44" s="231"/>
      <c r="H44" s="231"/>
      <c r="I44" s="230">
        <v>0</v>
      </c>
      <c r="J44" s="230">
        <v>0</v>
      </c>
      <c r="K44" s="231">
        <v>0</v>
      </c>
      <c r="L44" s="231"/>
      <c r="M44" s="231"/>
      <c r="N44" s="231"/>
      <c r="O44" s="230"/>
      <c r="P44" s="230">
        <v>2270</v>
      </c>
      <c r="Q44" s="231">
        <v>6855</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664</v>
      </c>
      <c r="AU44" s="232">
        <v>0</v>
      </c>
      <c r="AV44" s="232">
        <v>0</v>
      </c>
      <c r="AW44" s="302"/>
    </row>
    <row r="45" spans="1:49" x14ac:dyDescent="0.2">
      <c r="B45" s="251" t="s">
        <v>261</v>
      </c>
      <c r="C45" s="209" t="s">
        <v>19</v>
      </c>
      <c r="D45" s="222">
        <v>70</v>
      </c>
      <c r="E45" s="223">
        <v>70</v>
      </c>
      <c r="F45" s="223"/>
      <c r="G45" s="223"/>
      <c r="H45" s="223"/>
      <c r="I45" s="222">
        <v>0</v>
      </c>
      <c r="J45" s="222">
        <v>0</v>
      </c>
      <c r="K45" s="223">
        <v>0</v>
      </c>
      <c r="L45" s="223"/>
      <c r="M45" s="223"/>
      <c r="N45" s="223"/>
      <c r="O45" s="222"/>
      <c r="P45" s="222">
        <v>1230</v>
      </c>
      <c r="Q45" s="223">
        <v>1230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17</v>
      </c>
      <c r="E46" s="223">
        <v>17</v>
      </c>
      <c r="F46" s="223"/>
      <c r="G46" s="223"/>
      <c r="H46" s="223"/>
      <c r="I46" s="222">
        <v>0</v>
      </c>
      <c r="J46" s="222">
        <v>0</v>
      </c>
      <c r="K46" s="223">
        <v>0</v>
      </c>
      <c r="L46" s="223"/>
      <c r="M46" s="223"/>
      <c r="N46" s="223"/>
      <c r="O46" s="222"/>
      <c r="P46" s="222">
        <v>291</v>
      </c>
      <c r="Q46" s="223">
        <v>291</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282365</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1848</v>
      </c>
      <c r="Q47" s="223">
        <v>1848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79064</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-1402</v>
      </c>
      <c r="E49" s="223">
        <v>-1402</v>
      </c>
      <c r="F49" s="223"/>
      <c r="G49" s="223"/>
      <c r="H49" s="223"/>
      <c r="I49" s="222">
        <v>0</v>
      </c>
      <c r="J49" s="222">
        <v>0</v>
      </c>
      <c r="K49" s="223">
        <v>0</v>
      </c>
      <c r="L49" s="223"/>
      <c r="M49" s="223"/>
      <c r="N49" s="223"/>
      <c r="O49" s="222"/>
      <c r="P49" s="222">
        <v>-24595</v>
      </c>
      <c r="Q49" s="223">
        <v>-24595</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8</v>
      </c>
      <c r="E50" s="223">
        <v>8</v>
      </c>
      <c r="F50" s="223"/>
      <c r="G50" s="223"/>
      <c r="H50" s="223"/>
      <c r="I50" s="222">
        <v>0</v>
      </c>
      <c r="J50" s="222">
        <v>0</v>
      </c>
      <c r="K50" s="223">
        <v>0</v>
      </c>
      <c r="L50" s="223"/>
      <c r="M50" s="223"/>
      <c r="N50" s="223"/>
      <c r="O50" s="222"/>
      <c r="P50" s="222">
        <v>146</v>
      </c>
      <c r="Q50" s="223">
        <v>146</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1569</v>
      </c>
      <c r="E51" s="223">
        <v>1569</v>
      </c>
      <c r="F51" s="223"/>
      <c r="G51" s="223"/>
      <c r="H51" s="223"/>
      <c r="I51" s="222">
        <v>0</v>
      </c>
      <c r="J51" s="222">
        <v>0</v>
      </c>
      <c r="K51" s="223">
        <v>0</v>
      </c>
      <c r="L51" s="223"/>
      <c r="M51" s="223"/>
      <c r="N51" s="223"/>
      <c r="O51" s="222"/>
      <c r="P51" s="222">
        <v>27525</v>
      </c>
      <c r="Q51" s="223">
        <v>27525</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360389</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6</v>
      </c>
      <c r="Q53" s="223">
        <v>6</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3491</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v>
      </c>
      <c r="E56" s="235">
        <v>2</v>
      </c>
      <c r="F56" s="235"/>
      <c r="G56" s="235"/>
      <c r="H56" s="235"/>
      <c r="I56" s="234">
        <v>0</v>
      </c>
      <c r="J56" s="234">
        <v>0</v>
      </c>
      <c r="K56" s="235">
        <v>0</v>
      </c>
      <c r="L56" s="235"/>
      <c r="M56" s="235"/>
      <c r="N56" s="235"/>
      <c r="O56" s="234"/>
      <c r="P56" s="234">
        <v>9</v>
      </c>
      <c r="Q56" s="235">
        <v>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17105</v>
      </c>
      <c r="AU56" s="236">
        <v>0</v>
      </c>
      <c r="AV56" s="236">
        <v>0</v>
      </c>
      <c r="AW56" s="294"/>
    </row>
    <row r="57" spans="2:49" x14ac:dyDescent="0.2">
      <c r="B57" s="251" t="s">
        <v>272</v>
      </c>
      <c r="C57" s="209" t="s">
        <v>25</v>
      </c>
      <c r="D57" s="237">
        <v>2</v>
      </c>
      <c r="E57" s="238">
        <v>2</v>
      </c>
      <c r="F57" s="238"/>
      <c r="G57" s="238"/>
      <c r="H57" s="238"/>
      <c r="I57" s="237">
        <v>0</v>
      </c>
      <c r="J57" s="237">
        <v>0</v>
      </c>
      <c r="K57" s="238">
        <v>0</v>
      </c>
      <c r="L57" s="238"/>
      <c r="M57" s="238"/>
      <c r="N57" s="238"/>
      <c r="O57" s="237"/>
      <c r="P57" s="237">
        <v>30</v>
      </c>
      <c r="Q57" s="238">
        <v>30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33690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4</v>
      </c>
      <c r="Q58" s="238">
        <v>4</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547</v>
      </c>
      <c r="AU58" s="239">
        <v>0</v>
      </c>
      <c r="AV58" s="239">
        <v>0</v>
      </c>
      <c r="AW58" s="295"/>
    </row>
    <row r="59" spans="2:49" x14ac:dyDescent="0.2">
      <c r="B59" s="251" t="s">
        <v>274</v>
      </c>
      <c r="C59" s="209" t="s">
        <v>27</v>
      </c>
      <c r="D59" s="237">
        <v>24</v>
      </c>
      <c r="E59" s="238">
        <v>24</v>
      </c>
      <c r="F59" s="238"/>
      <c r="G59" s="238"/>
      <c r="H59" s="238"/>
      <c r="I59" s="237">
        <v>0</v>
      </c>
      <c r="J59" s="237">
        <v>0</v>
      </c>
      <c r="K59" s="238">
        <v>0</v>
      </c>
      <c r="L59" s="238"/>
      <c r="M59" s="238"/>
      <c r="N59" s="238"/>
      <c r="O59" s="237"/>
      <c r="P59" s="237">
        <v>421</v>
      </c>
      <c r="Q59" s="238">
        <v>421</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408344</v>
      </c>
      <c r="AU59" s="239">
        <v>0</v>
      </c>
      <c r="AV59" s="239">
        <v>0</v>
      </c>
      <c r="AW59" s="295"/>
    </row>
    <row r="60" spans="2:49" x14ac:dyDescent="0.2">
      <c r="B60" s="251" t="s">
        <v>275</v>
      </c>
      <c r="C60" s="209"/>
      <c r="D60" s="240">
        <f>D$59/12</f>
        <v>2</v>
      </c>
      <c r="E60" s="241">
        <f>E$59/12</f>
        <v>2</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35.083333333333336</v>
      </c>
      <c r="Q60" s="241">
        <f>Q$59/12</f>
        <v>35.083333333333336</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34028.666666666664</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689157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99277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23767</v>
      </c>
      <c r="E5" s="332">
        <v>23767</v>
      </c>
      <c r="F5" s="332"/>
      <c r="G5" s="334"/>
      <c r="H5" s="334"/>
      <c r="I5" s="331">
        <v>0</v>
      </c>
      <c r="J5" s="331">
        <v>0</v>
      </c>
      <c r="K5" s="332">
        <v>0</v>
      </c>
      <c r="L5" s="332"/>
      <c r="M5" s="332"/>
      <c r="N5" s="332"/>
      <c r="O5" s="331"/>
      <c r="P5" s="331">
        <v>206283</v>
      </c>
      <c r="Q5" s="332">
        <v>203168</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9916650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-8</v>
      </c>
      <c r="E13" s="325">
        <v>-8</v>
      </c>
      <c r="F13" s="325"/>
      <c r="G13" s="325"/>
      <c r="H13" s="325"/>
      <c r="I13" s="324">
        <v>0</v>
      </c>
      <c r="J13" s="324">
        <v>0</v>
      </c>
      <c r="K13" s="325">
        <v>0</v>
      </c>
      <c r="L13" s="325"/>
      <c r="M13" s="325"/>
      <c r="N13" s="325"/>
      <c r="O13" s="324"/>
      <c r="P13" s="324">
        <v>-73</v>
      </c>
      <c r="Q13" s="325">
        <v>-73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381</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3664</v>
      </c>
      <c r="E23" s="368"/>
      <c r="F23" s="368"/>
      <c r="G23" s="368"/>
      <c r="H23" s="368"/>
      <c r="I23" s="370"/>
      <c r="J23" s="324">
        <v>8123</v>
      </c>
      <c r="K23" s="368"/>
      <c r="L23" s="368"/>
      <c r="M23" s="368"/>
      <c r="N23" s="368"/>
      <c r="O23" s="370"/>
      <c r="P23" s="324">
        <v>150236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5548754</v>
      </c>
      <c r="AU23" s="327">
        <v>0</v>
      </c>
      <c r="AV23" s="374"/>
      <c r="AW23" s="380"/>
    </row>
    <row r="24" spans="2:49" ht="28.5" customHeight="1" x14ac:dyDescent="0.2">
      <c r="B24" s="351" t="s">
        <v>114</v>
      </c>
      <c r="C24" s="337"/>
      <c r="D24" s="371"/>
      <c r="E24" s="325">
        <v>3623</v>
      </c>
      <c r="F24" s="325"/>
      <c r="G24" s="325"/>
      <c r="H24" s="325"/>
      <c r="I24" s="324">
        <v>0</v>
      </c>
      <c r="J24" s="371"/>
      <c r="K24" s="325">
        <v>0</v>
      </c>
      <c r="L24" s="325"/>
      <c r="M24" s="325"/>
      <c r="N24" s="325"/>
      <c r="O24" s="324"/>
      <c r="P24" s="371"/>
      <c r="Q24" s="325">
        <v>196072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3790</v>
      </c>
      <c r="E26" s="368"/>
      <c r="F26" s="368"/>
      <c r="G26" s="368"/>
      <c r="H26" s="368"/>
      <c r="I26" s="370"/>
      <c r="J26" s="324">
        <v>0</v>
      </c>
      <c r="K26" s="368"/>
      <c r="L26" s="368"/>
      <c r="M26" s="368"/>
      <c r="N26" s="368"/>
      <c r="O26" s="370"/>
      <c r="P26" s="324">
        <v>32948</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333295</v>
      </c>
      <c r="AU26" s="327">
        <v>0</v>
      </c>
      <c r="AV26" s="374"/>
      <c r="AW26" s="380"/>
    </row>
    <row r="27" spans="2:49" s="11" customFormat="1" ht="25.5" x14ac:dyDescent="0.2">
      <c r="B27" s="351" t="s">
        <v>85</v>
      </c>
      <c r="C27" s="337"/>
      <c r="D27" s="371"/>
      <c r="E27" s="325">
        <v>1025</v>
      </c>
      <c r="F27" s="325"/>
      <c r="G27" s="325"/>
      <c r="H27" s="325"/>
      <c r="I27" s="324">
        <v>0</v>
      </c>
      <c r="J27" s="371"/>
      <c r="K27" s="325">
        <v>0</v>
      </c>
      <c r="L27" s="325"/>
      <c r="M27" s="325"/>
      <c r="N27" s="325"/>
      <c r="O27" s="324"/>
      <c r="P27" s="371"/>
      <c r="Q27" s="325">
        <v>8894</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2664</v>
      </c>
      <c r="E28" s="369"/>
      <c r="F28" s="369"/>
      <c r="G28" s="369"/>
      <c r="H28" s="369"/>
      <c r="I28" s="371"/>
      <c r="J28" s="324">
        <v>0</v>
      </c>
      <c r="K28" s="369"/>
      <c r="L28" s="369"/>
      <c r="M28" s="369"/>
      <c r="N28" s="369"/>
      <c r="O28" s="371"/>
      <c r="P28" s="324">
        <v>27365</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336405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32</v>
      </c>
      <c r="E34" s="368"/>
      <c r="F34" s="368"/>
      <c r="G34" s="368"/>
      <c r="H34" s="368"/>
      <c r="I34" s="370"/>
      <c r="J34" s="324">
        <v>0</v>
      </c>
      <c r="K34" s="368"/>
      <c r="L34" s="368"/>
      <c r="M34" s="368"/>
      <c r="N34" s="368"/>
      <c r="O34" s="370"/>
      <c r="P34" s="324">
        <v>278</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32</v>
      </c>
      <c r="F35" s="325"/>
      <c r="G35" s="325"/>
      <c r="H35" s="325"/>
      <c r="I35" s="324">
        <v>0</v>
      </c>
      <c r="J35" s="371"/>
      <c r="K35" s="325">
        <v>0</v>
      </c>
      <c r="L35" s="325"/>
      <c r="M35" s="325"/>
      <c r="N35" s="325"/>
      <c r="O35" s="324"/>
      <c r="P35" s="371"/>
      <c r="Q35" s="325">
        <v>278</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22</v>
      </c>
      <c r="E36" s="325">
        <v>22</v>
      </c>
      <c r="F36" s="325"/>
      <c r="G36" s="325"/>
      <c r="H36" s="325"/>
      <c r="I36" s="324">
        <v>0</v>
      </c>
      <c r="J36" s="324">
        <v>0</v>
      </c>
      <c r="K36" s="325">
        <v>0</v>
      </c>
      <c r="L36" s="325"/>
      <c r="M36" s="325"/>
      <c r="N36" s="325"/>
      <c r="O36" s="324"/>
      <c r="P36" s="324">
        <v>228</v>
      </c>
      <c r="Q36" s="325">
        <v>228</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312</v>
      </c>
      <c r="Q45" s="325">
        <v>160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4800</v>
      </c>
      <c r="E54" s="329">
        <f>E24+E27+E31+E35-E36+E39+E42+E45+E46-E49+E51+E52+E53</f>
        <v>4658</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8123</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156181</v>
      </c>
      <c r="Q54" s="329">
        <f>Q24+Q27+Q31+Q35-Q36+Q39+Q42+Q45+Q46-Q49+Q51+Q52+Q53</f>
        <v>205176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5545644</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9916650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8482</v>
      </c>
      <c r="D6" s="404">
        <v>5316</v>
      </c>
      <c r="E6" s="406">
        <f>SUM('Pt 1 Summary of Data'!E$12,'Pt 1 Summary of Data'!E$22)+SUM('Pt 1 Summary of Data'!G$12,'Pt 1 Summary of Data'!G$22)-SUM('Pt 1 Summary of Data'!H$12,'Pt 1 Summary of Data'!H$22)</f>
        <v>4658</v>
      </c>
      <c r="F6" s="406">
        <f>SUM(C6:E6)</f>
        <v>18456</v>
      </c>
      <c r="G6" s="407">
        <f>SUM('Pt 1 Summary of Data'!I$12,'Pt 1 Summary of Data'!I$22)</f>
        <v>0</v>
      </c>
      <c r="H6" s="403">
        <v>0</v>
      </c>
      <c r="I6" s="404">
        <v>-1</v>
      </c>
      <c r="J6" s="406">
        <f>SUM('Pt 1 Summary of Data'!K$12,'Pt 1 Summary of Data'!K$22)+SUM('Pt 1 Summary of Data'!M$12,'Pt 1 Summary of Data'!M$22)-SUM('Pt 1 Summary of Data'!N$12,'Pt 1 Summary of Data'!N$22)</f>
        <v>0</v>
      </c>
      <c r="K6" s="406">
        <f>SUM(H6:J6)</f>
        <v>-1</v>
      </c>
      <c r="L6" s="407">
        <f>SUM('Pt 1 Summary of Data'!O$12,'Pt 1 Summary of Data'!O$22)</f>
        <v>0</v>
      </c>
      <c r="M6" s="403">
        <v>1081841</v>
      </c>
      <c r="N6" s="404">
        <v>269421</v>
      </c>
      <c r="O6" s="406">
        <f>SUM('Pt 1 Summary of Data'!Q$12,'Pt 1 Summary of Data'!Q$22)+SUM('Pt 1 Summary of Data'!S$12,'Pt 1 Summary of Data'!S$22)-SUM('Pt 1 Summary of Data'!T$12,'Pt 1 Summary of Data'!T$22)</f>
        <v>205176</v>
      </c>
      <c r="P6" s="406">
        <f>SUM(M6:O6)</f>
        <v>1556438</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117</v>
      </c>
      <c r="D7" s="404">
        <v>140</v>
      </c>
      <c r="E7" s="406">
        <f>SUM('Pt 1 Summary of Data'!E$37:E$41)+SUM('Pt 1 Summary of Data'!G$37:G$41)-SUM('Pt 1 Summary of Data'!H$37:H$41)+MAX(0,MIN('Pt 1 Summary of Data'!E$42+'Pt 1 Summary of Data'!G$42-'Pt 1 Summary of Data'!H$42,0.3%*('Pt 1 Summary of Data'!E$5+'Pt 1 Summary of Data'!G$5-'Pt 1 Summary of Data'!H$5-SUM(E$9:E$11))))</f>
        <v>96</v>
      </c>
      <c r="F7" s="406">
        <f>SUM(C7:E7)</f>
        <v>353</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5448</v>
      </c>
      <c r="N7" s="404">
        <v>3232</v>
      </c>
      <c r="O7" s="406">
        <f>SUM('Pt 1 Summary of Data'!Q$37:Q$41)+SUM('Pt 1 Summary of Data'!S$37:S$41)-SUM('Pt 1 Summary of Data'!T$37:T$41)+MAX(0,MIN('Pt 1 Summary of Data'!Q$42+'Pt 1 Summary of Data'!S$42-'Pt 1 Summary of Data'!T$42,0.3%*('Pt 1 Summary of Data'!Q$5+'Pt 1 Summary of Data'!S$5-'Pt 1 Summary of Data'!T$5)))</f>
        <v>1876</v>
      </c>
      <c r="P7" s="406">
        <f>SUM(M7:O7)</f>
        <v>10556</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8599</v>
      </c>
      <c r="D12" s="406">
        <f>SUM(D$6:D$7) - SUM(D$8:D$11)+IF(AND(OR('Company Information'!$C$12="District of Columbia",'Company Information'!$C$12="Massachusetts",'Company Information'!$C$12="Vermont"),SUM($C$6:$F$11,$C$15:$F$16,$C$38:$D$38)&lt;&gt;0),SUM(I$6:I$7) - SUM(I$10:I$11),0)</f>
        <v>5456</v>
      </c>
      <c r="E12" s="406">
        <f>SUM(E$6:E$7)-SUM(E$8:E$11)+IF(AND(OR('Company Information'!$C$12="District of Columbia",'Company Information'!$C$12="Massachusetts",'Company Information'!$C$12="Vermont"),SUM($C$6:$F$11,$C$15:$F$16,$C$38:$D$38)&lt;&gt;0),SUM(J$6:J$7)-SUM(J$10:J$11),0)</f>
        <v>4754</v>
      </c>
      <c r="F12" s="406">
        <f>IFERROR(SUM(C$12:E$12)+C$17*MAX(0,E$50-C$50)+D$17*MAX(0,E$50-D$50),0)</f>
        <v>18809</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-1</v>
      </c>
      <c r="J12" s="406">
        <f>SUM(J$6:J$7)-SUM(J$10:J$11)+IF(AND(OR('Company Information'!$C$12="District of Columbia",'Company Information'!$C$12="Massachusetts",'Company Information'!$C$12="Vermont"),SUM($H$6:$K$11,$H$15:$K$16,$H$38:$I$38)&lt;&gt;0),SUM(E$6:E$7)-SUM(E$8:E$11),0)</f>
        <v>0</v>
      </c>
      <c r="K12" s="406">
        <f>IFERROR(SUM(H$12:J$12)+H$17*MAX(0,J$50-H$50)+I$17*MAX(0,J$50-I$50),0)</f>
        <v>-1</v>
      </c>
      <c r="L12" s="453"/>
      <c r="M12" s="405">
        <f>SUM(M$6:M$7)</f>
        <v>1087289</v>
      </c>
      <c r="N12" s="406">
        <f>SUM(N$6:N$7)</f>
        <v>272653</v>
      </c>
      <c r="O12" s="406">
        <f>SUM(O$6:O$7)</f>
        <v>207052</v>
      </c>
      <c r="P12" s="406">
        <f>SUM(M$12:O$12)+M$17*MAX(0,O$50-M$50)+N$17*MAX(0,O$50-N$50)</f>
        <v>1566994</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36379</v>
      </c>
      <c r="D15" s="409">
        <v>34698</v>
      </c>
      <c r="E15" s="401">
        <f>SUM('Pt 1 Summary of Data'!E$5:E$7)+SUM('Pt 1 Summary of Data'!G$5:G$7)-SUM('Pt 1 Summary of Data'!H$5:H$7)-SUM(E$9:E$11)</f>
        <v>23775</v>
      </c>
      <c r="F15" s="401">
        <f>SUM(C15:E15)</f>
        <v>94852</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983977</v>
      </c>
      <c r="N15" s="409">
        <v>365661</v>
      </c>
      <c r="O15" s="401">
        <f>SUM('Pt 1 Summary of Data'!Q$5:Q$7)+SUM('Pt 1 Summary of Data'!S$5:S$7)-SUM('Pt 1 Summary of Data'!T$5:T$7)+N$56</f>
        <v>203241</v>
      </c>
      <c r="P15" s="401">
        <f>SUM(M15:O15)</f>
        <v>1552879</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13505</v>
      </c>
      <c r="D16" s="404">
        <v>7023</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17045</v>
      </c>
      <c r="F16" s="406">
        <f>SUM(C16:E16)</f>
        <v>37573</v>
      </c>
      <c r="G16" s="407">
        <f>SUM('Pt 1 Summary of Data'!I$25:I$28,'Pt 1 Summary of Data'!I$30,'Pt 1 Summary of Data'!I$34:I$35)+IF('Company Information'!$C$15="No",IF(MAX('Pt 1 Summary of Data'!I$31:I$32)=0,MIN('Pt 1 Summary of Data'!I$31:I$32),MAX('Pt 1 Summary of Data'!I$31:I$32)),SUM('Pt 1 Summary of Data'!I$31:I$32))</f>
        <v>0</v>
      </c>
      <c r="H16" s="403">
        <v>-19706</v>
      </c>
      <c r="I16" s="404">
        <v>3434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-2989</v>
      </c>
      <c r="K16" s="406">
        <f>SUM(H16:J16)</f>
        <v>-19261</v>
      </c>
      <c r="L16" s="407">
        <f>SUM('Pt 1 Summary of Data'!O$25:O$28,'Pt 1 Summary of Data'!O$30,'Pt 1 Summary of Data'!O$34:O$35)+IF('Company Information'!$C$15="No",IF(MAX('Pt 1 Summary of Data'!O$31:O$32)=0,MIN('Pt 1 Summary of Data'!O$31:O$32),MAX('Pt 1 Summary of Data'!O$31:O$32)),SUM('Pt 1 Summary of Data'!O$31:O$32))</f>
        <v>0</v>
      </c>
      <c r="M16" s="403">
        <v>100341</v>
      </c>
      <c r="N16" s="404">
        <v>-98816</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119671</v>
      </c>
      <c r="P16" s="406">
        <f>SUM(M16:O16)</f>
        <v>121196</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22874</v>
      </c>
      <c r="D17" s="406">
        <f>D$15-D$16+IF(AND(OR('Company Information'!$C$12="District of Columbia",'Company Information'!$C$12="Massachusetts",'Company Information'!$C$12="Vermont"),SUM($C$6:$F$11,$C$15:$F$16,$C$38:$D$38)&lt;&gt;0),I$15-I$16,0)</f>
        <v>27675</v>
      </c>
      <c r="E17" s="406">
        <f>E$15-E$16+IF(AND(OR('Company Information'!$C$12="District of Columbia",'Company Information'!$C$12="Massachusetts",'Company Information'!$C$12="Vermont"),SUM($C$6:$F$11,$C$15:$F$16,$C$38:$D$38)&lt;&gt;0),J$15-J$16,0)</f>
        <v>6730</v>
      </c>
      <c r="F17" s="406">
        <f>F$15-F$16+IF(AND(OR('Company Information'!$C$12="District of Columbia",'Company Information'!$C$12="Massachusetts",'Company Information'!$C$12="Vermont"),SUM($C$6:$F$11,$C$15:$F$16,$C$38:$D$38)&lt;&gt;0),K$15-K$16,0)</f>
        <v>57279</v>
      </c>
      <c r="G17" s="456"/>
      <c r="H17" s="405">
        <f>H$15-H$16+IF(AND(OR('Company Information'!$C$12="District of Columbia",'Company Information'!$C$12="Massachusetts",'Company Information'!$C$12="Vermont"),SUM($H$6:$K$11,$H$15:$K$16,$H$38:$I$38)&lt;&gt;0),C$15-C$16,0)</f>
        <v>19706</v>
      </c>
      <c r="I17" s="406">
        <f>I$15-I$16+IF(AND(OR('Company Information'!$C$12="District of Columbia",'Company Information'!$C$12="Massachusetts",'Company Information'!$C$12="Vermont"),SUM($H$6:$K$11,$H$15:$K$16,$H$38:$I$38)&lt;&gt;0),D$15-D$16,0)</f>
        <v>-3434</v>
      </c>
      <c r="J17" s="406">
        <f>J$15-J$16+IF(AND(OR('Company Information'!$C$12="District of Columbia",'Company Information'!$C$12="Massachusetts",'Company Information'!$C$12="Vermont"),SUM($H$6:$K$11,$H$15:$K$16,$H$38:$I$38)&lt;&gt;0),E$15-E$16,0)</f>
        <v>2989</v>
      </c>
      <c r="K17" s="406">
        <f>K$15-K$16+IF(AND(OR('Company Information'!$C$12="District of Columbia",'Company Information'!$C$12="Massachusetts",'Company Information'!$C$12="Vermont"),SUM($H$6:$K$11,$H$15:$K$16,$H$38:$I$38)&lt;&gt;0),F$15-F$16,0)</f>
        <v>19261</v>
      </c>
      <c r="L17" s="456"/>
      <c r="M17" s="405">
        <f>M$15-M$16</f>
        <v>883636</v>
      </c>
      <c r="N17" s="406">
        <f>N$15-N$16</f>
        <v>464477</v>
      </c>
      <c r="O17" s="406">
        <f>O$15-O$16</f>
        <v>83570</v>
      </c>
      <c r="P17" s="406">
        <f>P$15-P$16</f>
        <v>1431683</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3</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v>
      </c>
      <c r="F38" s="438">
        <f>SUM(C$38:E$38)+IF(AND(OR('Company Information'!$C$12="District of Columbia",'Company Information'!$C$12="Massachusetts",'Company Information'!$C$12="Vermont"),SUM($C$6:$F$11,$C$15:$F$16,$C$38:$D$38)&lt;&gt;0,SUM(C$38:D$38)&lt;&gt;SUM(H$38:I$38)),SUM(H$38:I$38),0)</f>
        <v>8</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152</v>
      </c>
      <c r="N38" s="411">
        <v>65</v>
      </c>
      <c r="O38" s="438">
        <f>('Pt 1 Summary of Data'!Q$59+'Pt 1 Summary of Data'!S$59-'Pt 1 Summary of Data'!T$59)/12</f>
        <v>35.083333333333336</v>
      </c>
      <c r="P38" s="438">
        <f>SUM(M$38:O$38)</f>
        <v>252.08333333333334</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2</v>
      </c>
      <c r="D4" s="110">
        <f>'Pt 1 Summary of Data'!$K$56+'Pt 1 Summary of Data'!$M$56-'Pt 1 Summary of Data'!$N$56</f>
        <v>0</v>
      </c>
      <c r="E4" s="110">
        <f>'Pt 1 Summary of Data'!$Q$56+'Pt 1 Summary of Data'!$S$56-'Pt 1 Summary of Data'!$T$56</f>
        <v>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2016-07-25T22:40:38Z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