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K6" i="10" l="1"/>
  <c r="AB41" i="10"/>
  <c r="AB38" i="10"/>
  <c r="G19" i="10"/>
  <c r="P15" i="10"/>
  <c r="P17" i="10" s="1"/>
  <c r="O17" i="10"/>
  <c r="P38" i="10"/>
  <c r="P41" i="10"/>
  <c r="T38" i="10"/>
  <c r="T41" i="10"/>
  <c r="W6" i="10"/>
  <c r="AB13" i="10"/>
  <c r="X41" i="10"/>
  <c r="X38" i="10"/>
  <c r="L29" i="10"/>
  <c r="L21" i="10"/>
  <c r="L28" i="10"/>
  <c r="AB15" i="10"/>
  <c r="AB17" i="10" s="1"/>
  <c r="AA17" i="10"/>
  <c r="T6" i="10"/>
  <c r="AB6" i="10"/>
  <c r="AA13" i="10"/>
  <c r="E7" i="10"/>
  <c r="F7" i="10" s="1"/>
  <c r="G29" i="10"/>
  <c r="G25" i="10"/>
  <c r="G21" i="10"/>
  <c r="G28" i="10"/>
  <c r="K15" i="10"/>
  <c r="K41" i="10"/>
  <c r="K38" i="10"/>
  <c r="E6" i="10"/>
  <c r="O6" i="10"/>
  <c r="L25" i="10"/>
  <c r="E15" i="10"/>
  <c r="J7" i="10"/>
  <c r="K7" i="10" s="1"/>
  <c r="S15" i="10"/>
  <c r="AA7" i="10"/>
  <c r="AB7" i="10" s="1"/>
  <c r="L19" i="10"/>
  <c r="L24" i="10" s="1"/>
  <c r="L23" i="10" s="1"/>
  <c r="L27" i="10" s="1"/>
  <c r="O7" i="10"/>
  <c r="P7" i="10" s="1"/>
  <c r="W15" i="10"/>
  <c r="G7" i="10"/>
  <c r="G20" i="10" s="1"/>
  <c r="L31" i="10" l="1"/>
  <c r="L32" i="10" s="1"/>
  <c r="L33" i="10" s="1"/>
  <c r="L26" i="10"/>
  <c r="L30" i="10" s="1"/>
  <c r="G24" i="10"/>
  <c r="G23" i="10" s="1"/>
  <c r="G27" i="10" s="1"/>
  <c r="F15" i="10"/>
  <c r="H17" i="10"/>
  <c r="X15" i="10"/>
  <c r="T15" i="10"/>
  <c r="S17" i="10" s="1"/>
  <c r="P6" i="10"/>
  <c r="O12" i="10"/>
  <c r="P12" i="10" s="1"/>
  <c r="K17" i="10"/>
  <c r="I12" i="10"/>
  <c r="F6" i="10"/>
  <c r="D12" i="10" s="1"/>
  <c r="C17" i="10"/>
  <c r="C12" i="10"/>
  <c r="J17" i="10"/>
  <c r="S13" i="10"/>
  <c r="I17" i="10"/>
  <c r="H12" i="10"/>
  <c r="U13" i="10"/>
  <c r="X6" i="10"/>
  <c r="W17" i="10" s="1"/>
  <c r="V13" i="10"/>
  <c r="J12" i="10"/>
  <c r="G26" i="10" l="1"/>
  <c r="G30" i="10" s="1"/>
  <c r="G31" i="10"/>
  <c r="G32" i="10" s="1"/>
  <c r="G33" i="10" s="1"/>
  <c r="V17" i="10"/>
  <c r="D17" i="10"/>
  <c r="E12" i="10"/>
  <c r="F12" i="10" s="1"/>
  <c r="R17" i="10"/>
  <c r="K12" i="10"/>
  <c r="T17" i="10"/>
  <c r="Q13" i="10"/>
  <c r="E17" i="10"/>
  <c r="X17" i="10"/>
  <c r="F17" i="10"/>
  <c r="W13" i="10"/>
  <c r="U17" i="10"/>
  <c r="X13" i="10" s="1"/>
  <c r="R13" i="10"/>
  <c r="Q17" i="10"/>
  <c r="T13" i="10" l="1"/>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<sst xmlns="http://schemas.openxmlformats.org/spreadsheetml/2006/main" count="717" uniqueCount="569">
  <si>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</si>
  <si>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</si>
  <si>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</si>
  <si>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</si>
  <si>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</si>
  <si>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</si>
  <si>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</si>
  <si>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</si>
  <si>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</si>
  <si>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</si>
  <si>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</si>
  <si>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</si>
  <si>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</si>
  <si>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</si>
  <si>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</si>
  <si>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</si>
  <si>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</si>
  <si>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</si>
  <si>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</si>
  <si>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</si>
  <si>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</si>
  <si>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</si>
  <si>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</si>
  <si>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</si>
  <si>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</si>
  <si>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</si>
  <si>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</si>
  <si>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</si>
  <si>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</si>
  <si>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</si>
  <si>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</si>
  <si>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</si>
  <si>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</si>
  <si>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</si>
  <si>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</si>
  <si>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</si>
  <si>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</si>
  <si>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</si>
  <si>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</si>
  <si>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</si>
  <si>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</si>
  <si>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</si>
  <si>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</si>
  <si>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</si>
  <si>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</si>
  <si>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</si>
  <si>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</si>
  <si>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</si>
  <si>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</si>
  <si>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</si>
  <si>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</si>
  <si>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</si>
  <si>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</si>
  <si>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</si>
  <si>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</si>
  <si>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</si>
  <si>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</si>
  <si>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</si>
  <si>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</si>
  <si>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</si>
  <si>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</si>
  <si>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</si>
  <si>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</si>
  <si>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</si>
  <si>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</si>
  <si>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</si>
  <si>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</si>
  <si>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</si>
  <si>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</si>
  <si>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</si>
  <si>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</si>
  <si>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</si>
  <si>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</si>
  <si>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</si>
  <si>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</si>
  <si>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</si>
  <si>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</si>
  <si>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</si>
  <si>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</si>
  <si>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</si>
  <si>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</si>
  <si>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</si>
  <si>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</si>
  <si>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</si>
  <si>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</si>
  <si>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</si>
  <si>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</si>
  <si>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</si>
  <si>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</si>
  <si>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</si>
  <si>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</si>
  <si>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</si>
  <si>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</si>
  <si>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</si>
  <si>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</si>
  <si>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</si>
  <si>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</si>
  <si>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</si>
  <si>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</si>
  <si>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</si>
  <si>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</si>
  <si>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</si>
  <si>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</si>
  <si>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</si>
  <si>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</si>
  <si>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</si>
  <si>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</si>
  <si>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</si>
  <si>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</si>
  <si>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</si>
  <si>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</si>
  <si>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</si>
  <si>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</si>
  <si>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</si>
  <si>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</si>
  <si>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</si>
  <si>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</si>
  <si>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</si>
  <si>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</si>
  <si>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</si>
  <si>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</si>
  <si>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</si>
  <si>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</si>
  <si>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</si>
  <si>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</si>
  <si>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</si>
  <si>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</si>
  <si>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</si>
  <si>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</si>
  <si>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</si>
  <si>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</si>
  <si>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</si>
  <si>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</si>
  <si>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</si>
  <si>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</si>
  <si>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</si>
  <si>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</si>
  <si>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</si>
  <si>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</si>
  <si>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</si>
  <si>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</si>
  <si>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</si>
  <si>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</si>
  <si>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</si>
  <si>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</si>
  <si>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</si>
  <si>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</si>
  <si>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</si>
  <si>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</si>
  <si>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</si>
  <si>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</si>
  <si>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</si>
  <si>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</si>
  <si>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</si>
  <si>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</si>
  <si>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</si>
  <si>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</si>
  <si>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</si>
  <si>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</si>
  <si>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</si>
  <si>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</si>
  <si>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</si>
  <si>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</si>
  <si>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</si>
  <si>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</si>
  <si>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</si>
  <si>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</si>
  <si>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</si>
  <si>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</si>
  <si>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</si>
  <si>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</si>
  <si>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</si>
  <si>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</si>
  <si>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</si>
  <si>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</si>
  <si>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</si>
  <si>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</si>
  <si>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</si>
  <si>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</si>
  <si>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</si>
  <si>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</si>
  <si>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</si>
  <si>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</si>
  <si>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</si>
  <si>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</si>
  <si>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</si>
  <si>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</si>
  <si>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</si>
  <si>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</si>
  <si>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</si>
  <si>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</si>
  <si>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</si>
  <si>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</si>
  <si>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</si>
  <si>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</si>
  <si>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</si>
  <si>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</si>
  <si>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</si>
  <si>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</si>
  <si>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</si>
  <si>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</si>
  <si>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</si>
  <si>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</si>
  <si>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</si>
  <si>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</si>
  <si>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</si>
  <si>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</si>
  <si>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</si>
  <si>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</si>
  <si>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</si>
  <si>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</si>
  <si>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</si>
  <si>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</si>
  <si>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</si>
  <si>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</si>
  <si>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</si>
  <si>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</si>
  <si>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</si>
  <si>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</si>
  <si>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</si>
  <si>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</si>
  <si>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</si>
  <si>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</si>
  <si>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</si>
  <si>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</si>
  <si>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</si>
  <si>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</si>
  <si>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</si>
  <si>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</si>
  <si>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</si>
  <si>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</si>
  <si>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</si>
  <si>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</si>
  <si>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</si>
  <si>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</si>
  <si>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</si>
  <si>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</si>
  <si>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</si>
  <si>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</si>
  <si>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</si>
  <si>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</si>
  <si>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</si>
  <si>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</si>
  <si>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</si>
  <si>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</si>
  <si>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</si>
  <si>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</si>
  <si>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</si>
  <si>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</si>
  <si>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</si>
  <si>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</si>
  <si>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</si>
  <si>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</si>
  <si>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</si>
  <si>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</si>
  <si>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</si>
  <si>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</si>
  <si>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</si>
  <si>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</si>
  <si>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</si>
  <si>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</si>
  <si>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</si>
  <si>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</si>
  <si>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</si>
  <si>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</si>
  <si>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</si>
  <si>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</si>
  <si>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</si>
  <si>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</si>
  <si>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</si>
  <si>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</si>
  <si>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</si>
  <si>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</si>
  <si>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</si>
  <si>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</si>
  <si>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</si>
  <si>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</si>
  <si>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</si>
  <si>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</si>
  <si>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</si>
  <si>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</si>
  <si>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</si>
  <si>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</si>
  <si>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</si>
  <si>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</si>
  <si>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</si>
  <si>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</si>
  <si>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</si>
  <si>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</si>
  <si>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</si>
  <si>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</si>
  <si>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</si>
  <si>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</si>
  <si>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</si>
  <si>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</si>
  <si>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</si>
  <si>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</si>
  <si>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</si>
  <si>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</si>
  <si>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</si>
  <si>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</si>
  <si>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</si>
  <si>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</si>
  <si>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</si>
  <si>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</si>
  <si>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</si>
  <si>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</si>
  <si>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</si>
  <si>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</si>
  <si>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</si>
  <si>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</si>
  <si>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</si>
  <si>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</si>
  <si>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</si>
  <si>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</si>
  <si>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</si>
  <si>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</si>
  <si>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</si>
  <si>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</si>
  <si>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</si>
  <si>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</si>
  <si>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</si>
  <si>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</si>
  <si>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</si>
  <si>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</si>
  <si>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</si>
  <si>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</si>
  <si>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</si>
  <si>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</si>
  <si>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</si>
  <si>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</si>
  <si>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</si>
  <si>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</si>
  <si>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</si>
  <si>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</si>
  <si>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</si>
  <si>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</si>
  <si>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</si>
  <si>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</si>
  <si>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</si>
  <si>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</si>
  <si>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</si>
  <si>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</si>
  <si>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</si>
  <si>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</si>
  <si>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</si>
  <si>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</si>
  <si>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</si>
  <si>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</si>
  <si>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</si>
  <si>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</si>
  <si>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</si>
  <si>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</si>
  <si>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</si>
  <si>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</si>
  <si>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</si>
  <si>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</si>
  <si>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</si>
  <si>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</si>
  <si>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</si>
  <si>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</si>
  <si>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</si>
  <si>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</si>
  <si>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</si>
  <si>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</si>
  <si>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</si>
  <si>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</si>
  <si>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</si>
  <si>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</si>
  <si>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</si>
  <si>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</si>
  <si>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</si>
  <si>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</si>
  <si>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</si>
  <si>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</si>
  <si>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</si>
  <si>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</si>
  <si>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</si>
  <si>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</si>
  <si>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</si>
  <si>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</si>
  <si>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</si>
  <si>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</si>
  <si>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</si>
  <si>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</si>
  <si>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</si>
  <si>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</si>
  <si>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</si>
  <si>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</si>
  <si>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</si>
  <si>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</si>
  <si>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</si>
  <si>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</si>
  <si>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</si>
  <si>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</si>
  <si>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</si>
  <si>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</si>
  <si>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</si>
  <si>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</si>
  <si>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</si>
  <si>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</si>
  <si>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</si>
  <si>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</si>
  <si>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</si>
  <si>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</si>
  <si>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</si>
  <si>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</si>
  <si>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</si>
  <si>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</si>
  <si>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</si>
  <si>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</si>
  <si>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</si>
  <si>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</si>
  <si>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</si>
  <si>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</si>
  <si>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</si>
  <si>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</si>
  <si>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</si>
  <si>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</si>
  <si>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</si>
  <si>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</si>
  <si>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</si>
  <si>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</si>
  <si>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</si>
  <si>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</si>
  <si>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</si>
  <si>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</si>
  <si>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</si>
  <si>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</si>
  <si>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</si>
  <si>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</si>
  <si>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</si>
  <si>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</si>
  <si>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</si>
  <si>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</si>
  <si>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</si>
  <si>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</si>
  <si>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</si>
  <si>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</si>
  <si>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</si>
  <si>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</si>
  <si>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</si>
  <si>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</si>
  <si>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</si>
  <si>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</si>
  <si>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</si>
  <si>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</si>
  <si>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</si>
  <si>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</si>
  <si>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</si>
  <si>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</si>
  <si>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</si>
  <si>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</si>
  <si>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</si>
  <si>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</si>
  <si>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</si>
  <si>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</si>
  <si>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</si>
  <si>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</si>
  <si>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</si>
  <si>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</si>
  <si>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</si>
  <si>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</si>
  <si>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</si>
  <si>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</si>
  <si>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</si>
  <si>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</si>
  <si>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</si>
  <si>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</si>
  <si>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</si>
  <si>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</si>
  <si>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</si>
  <si>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</si>
  <si>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</si>
  <si>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</si>
  <si>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</si>
  <si>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</si>
  <si>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</si>
  <si>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</si>
  <si>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</si>
  <si>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</si>
  <si>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</si>
  <si>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</si>
  <si>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</si>
  <si>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</si>
  <si>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</si>
  <si>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</si>
  <si>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</si>
  <si>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</si>
  <si>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</si>
  <si>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</si>
  <si>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</si>
  <si>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</si>
  <si>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</si>
  <si>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Illinois, Inc.</t>
  </si>
  <si>
    <t>Cigna Hlth Grp</t>
  </si>
  <si>
    <t>N/A</t>
  </si>
  <si>
    <t>00901</t>
  </si>
  <si>
    <t>2014</t>
  </si>
  <si>
    <t>525 West Monroe, Suite 300 Chicago, IL 60661</t>
  </si>
  <si>
    <t>363385638</t>
  </si>
  <si>
    <t>068867</t>
  </si>
  <si>
    <t>95602</t>
  </si>
  <si>
    <t>103</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</si>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</sst>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154</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1072272</v>
      </c>
      <c r="Q5" s="112">
        <f>'Pt 2 Premium and Claims'!Q5+'Pt 2 Premium and Claims'!Q6-'Pt 2 Premium and Claims'!Q7-'Pt 2 Premium and Claims'!Q13+'Pt 2 Premium and Claims'!Q14</f>
        <v>1072272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-306</v>
      </c>
      <c r="Q7" s="116">
        <f>P7</f>
        <v>-306</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-16775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-10232</v>
      </c>
      <c r="E12" s="112">
        <f>'Pt 2 Premium and Claims'!E54</f>
        <v>-68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939112</v>
      </c>
      <c r="Q12" s="112">
        <f>'Pt 2 Premium and Claims'!Q54</f>
        <v>764712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387</v>
      </c>
      <c r="E13" s="116">
        <v>0</v>
      </c>
      <c r="F13" s="116"/>
      <c r="G13" s="295"/>
      <c r="H13" s="296"/>
      <c r="I13" s="115">
        <v>0</v>
      </c>
      <c r="J13" s="115">
        <v>0</v>
      </c>
      <c r="K13" s="116">
        <v>0</v>
      </c>
      <c r="L13" s="116"/>
      <c r="M13" s="295"/>
      <c r="N13" s="296"/>
      <c r="O13" s="115">
        <v>0</v>
      </c>
      <c r="P13" s="115">
        <v>200834</v>
      </c>
      <c r="Q13" s="116">
        <v>199914</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-1</v>
      </c>
      <c r="E14" s="116">
        <v>0</v>
      </c>
      <c r="F14" s="116"/>
      <c r="G14" s="294"/>
      <c r="H14" s="297"/>
      <c r="I14" s="115">
        <v>0</v>
      </c>
      <c r="J14" s="115">
        <v>0</v>
      </c>
      <c r="K14" s="116">
        <v>0</v>
      </c>
      <c r="L14" s="116"/>
      <c r="M14" s="294"/>
      <c r="N14" s="297"/>
      <c r="O14" s="115">
        <v>0</v>
      </c>
      <c r="P14" s="115">
        <v>-740</v>
      </c>
      <c r="Q14" s="116">
        <v>-735</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-20000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3565</v>
      </c>
      <c r="E25" s="116">
        <f>D25</f>
        <v>3565</v>
      </c>
      <c r="F25" s="116"/>
      <c r="G25" s="116"/>
      <c r="H25" s="116"/>
      <c r="I25" s="115">
        <v>0</v>
      </c>
      <c r="J25" s="115">
        <v>-18</v>
      </c>
      <c r="K25" s="116">
        <f>J25</f>
        <v>-18</v>
      </c>
      <c r="L25" s="116"/>
      <c r="M25" s="116"/>
      <c r="N25" s="116"/>
      <c r="O25" s="115">
        <v>0</v>
      </c>
      <c r="P25" s="115">
        <v>-45763</v>
      </c>
      <c r="Q25" s="116">
        <f>P25</f>
        <v>-45763</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-5844</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355</v>
      </c>
      <c r="Q26" s="116">
        <f>P26</f>
        <v>355</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16247</v>
      </c>
      <c r="Q27" s="116">
        <f>P27</f>
        <v>16247</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2442</v>
      </c>
      <c r="Q28" s="116">
        <f>P28</f>
        <v>2442</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575</v>
      </c>
      <c r="Q30" s="116">
        <f>P30</f>
        <v>575</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7789</v>
      </c>
      <c r="Q31" s="116">
        <f>P31</f>
        <v>7789</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53</v>
      </c>
      <c r="K34" s="116">
        <f>J34</f>
        <v>53</v>
      </c>
      <c r="L34" s="116"/>
      <c r="M34" s="116"/>
      <c r="N34" s="116"/>
      <c r="O34" s="115">
        <v>0</v>
      </c>
      <c r="P34" s="115">
        <v>11169</v>
      </c>
      <c r="Q34" s="116">
        <f>P34</f>
        <v>11169</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32074</v>
      </c>
      <c r="Q35" s="116">
        <f>P35</f>
        <v>32074</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1589</v>
      </c>
      <c r="Q37" s="124">
        <v>1624</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252</v>
      </c>
      <c r="Q38" s="116">
        <v>253</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5080</v>
      </c>
      <c r="Q39" s="116">
        <v>5091</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277</v>
      </c>
      <c r="Q40" s="116">
        <v>281</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308</v>
      </c>
      <c r="Q41" s="116">
        <v>309</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44</v>
      </c>
      <c r="Q42" s="116">
        <f>P42</f>
        <v>44</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v>
      </c>
      <c r="E44" s="124">
        <v>-12</v>
      </c>
      <c r="F44" s="124"/>
      <c r="G44" s="124"/>
      <c r="H44" s="124"/>
      <c r="I44" s="123">
        <v>0</v>
      </c>
      <c r="J44" s="123">
        <v>0</v>
      </c>
      <c r="K44" s="124">
        <v>0</v>
      </c>
      <c r="L44" s="124"/>
      <c r="M44" s="124"/>
      <c r="N44" s="124"/>
      <c r="O44" s="123">
        <v>0</v>
      </c>
      <c r="P44" s="123">
        <v>29411</v>
      </c>
      <c r="Q44" s="124">
        <v>29843</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6746</v>
      </c>
      <c r="Q45" s="116">
        <f>P45</f>
        <v>6746</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1242</v>
      </c>
      <c r="Q46" s="116">
        <f>P46</f>
        <v>1242</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46398</v>
      </c>
      <c r="Q47" s="116">
        <f>P47</f>
        <v>46398</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19</v>
      </c>
      <c r="Q49" s="116">
        <f>P49</f>
        <v>19</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17526</v>
      </c>
      <c r="Q50" s="116">
        <f>P50</f>
        <v>17526</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12</v>
      </c>
      <c r="E51" s="116">
        <f>D51</f>
        <v>12</v>
      </c>
      <c r="F51" s="116"/>
      <c r="G51" s="116"/>
      <c r="H51" s="116"/>
      <c r="I51" s="115">
        <v>0</v>
      </c>
      <c r="J51" s="115">
        <v>0</v>
      </c>
      <c r="K51" s="116">
        <f>J51</f>
        <v>0</v>
      </c>
      <c r="L51" s="116"/>
      <c r="M51" s="116"/>
      <c r="N51" s="116"/>
      <c r="O51" s="115">
        <v>0</v>
      </c>
      <c r="P51" s="115">
        <v>120910</v>
      </c>
      <c r="Q51" s="116">
        <f>P51</f>
        <v>120910</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44</v>
      </c>
      <c r="Q53" s="116">
        <f>P53</f>
        <v>44</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91</v>
      </c>
      <c r="Q56" s="128">
        <f>P56</f>
        <v>91</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169</v>
      </c>
      <c r="Q57" s="131">
        <f>P57</f>
        <v>169</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21</v>
      </c>
      <c r="Q58" s="131">
        <f>P58</f>
        <v>21</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2118</v>
      </c>
      <c r="Q59" s="131">
        <v>2118</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176.5</v>
      </c>
      <c r="Q60" s="134">
        <f>Q59/12</f>
        <v>176.5</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-1272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1072275</v>
      </c>
      <c r="Q5" s="124">
        <v>1072275</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3</v>
      </c>
      <c r="Q13" s="116">
        <v>3</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-1964</v>
      </c>
      <c r="E23" s="294"/>
      <c r="F23" s="294"/>
      <c r="G23" s="294"/>
      <c r="H23" s="294"/>
      <c r="I23" s="298"/>
      <c r="J23" s="115">
        <v>0</v>
      </c>
      <c r="K23" s="294"/>
      <c r="L23" s="294"/>
      <c r="M23" s="294"/>
      <c r="N23" s="294"/>
      <c r="O23" s="298"/>
      <c r="P23" s="115">
        <v>901274</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755844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80699</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8424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8200</v>
      </c>
      <c r="E28" s="295"/>
      <c r="F28" s="295"/>
      <c r="G28" s="295"/>
      <c r="H28" s="295"/>
      <c r="I28" s="299"/>
      <c r="J28" s="115">
        <v>0</v>
      </c>
      <c r="K28" s="295"/>
      <c r="L28" s="295"/>
      <c r="M28" s="295"/>
      <c r="N28" s="295"/>
      <c r="O28" s="299"/>
      <c r="P28" s="115">
        <v>43305</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610</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610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68</v>
      </c>
      <c r="E36" s="116">
        <f>D36</f>
        <v>68</v>
      </c>
      <c r="F36" s="116"/>
      <c r="G36" s="116"/>
      <c r="H36" s="116"/>
      <c r="I36" s="115">
        <v>0</v>
      </c>
      <c r="J36" s="115">
        <v>0</v>
      </c>
      <c r="K36" s="116">
        <f>J36</f>
        <v>0</v>
      </c>
      <c r="L36" s="116"/>
      <c r="M36" s="116"/>
      <c r="N36" s="116"/>
      <c r="O36" s="115">
        <v>0</v>
      </c>
      <c r="P36" s="115">
        <v>292</v>
      </c>
      <c r="Q36" s="116">
        <f>P36</f>
        <v>292</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126</v>
      </c>
      <c r="Q45" s="116">
        <v>126</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-10232</v>
      </c>
      <c r="E54" s="121">
        <f>E24+E27+E31+E35-E36+E39+E42+E45+E46-E49+E51+E52+E53</f>
        <v>-68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939112</v>
      </c>
      <c r="Q54" s="121">
        <f>Q24+Q27+Q31+Q35-Q36+Q39+Q42+Q45+Q46-Q49+Q51+Q52+Q53</f>
        <v>764712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88484.09</v>
      </c>
      <c r="D5" s="124">
        <v>118451</v>
      </c>
      <c r="E5" s="352"/>
      <c r="F5" s="352"/>
      <c r="G5" s="318"/>
      <c r="H5" s="123">
        <v>0</v>
      </c>
      <c r="I5" s="124">
        <v>4</v>
      </c>
      <c r="J5" s="352"/>
      <c r="K5" s="352"/>
      <c r="L5" s="318"/>
      <c r="M5" s="123">
        <v>659156.71</v>
      </c>
      <c r="N5" s="124">
        <v>635686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88201</v>
      </c>
      <c r="D6" s="116">
        <v>109632</v>
      </c>
      <c r="E6" s="121">
        <f>SUM('Pt 1 Summary of Data'!E$12,'Pt 1 Summary of Data'!E$22)+SUM('Pt 1 Summary of Data'!G$12,'Pt 1 Summary of Data'!G$22)-SUM('Pt 1 Summary of Data'!H$12,'Pt 1 Summary of Data'!H$22)</f>
        <v>-68</v>
      </c>
      <c r="F6" s="121">
        <f>SUM(C6:E6)</f>
        <v>197765</v>
      </c>
      <c r="G6" s="122">
        <f>'Pt 1 Summary of Data'!I12+'Pt 1 Summary of Data'!I22</f>
        <v>0</v>
      </c>
      <c r="H6" s="115">
        <v>0</v>
      </c>
      <c r="I6" s="116">
        <v>4</v>
      </c>
      <c r="J6" s="121">
        <f>'Pt 1 Summary of Data'!K12+'Pt 1 Summary of Data'!K22</f>
        <v>0</v>
      </c>
      <c r="K6" s="121">
        <f>SUM(H6:J6)</f>
        <v>4</v>
      </c>
      <c r="L6" s="122">
        <f>'Pt 1 Summary of Data'!O12+'Pt 1 Summary of Data'!O22</f>
        <v>0</v>
      </c>
      <c r="M6" s="115">
        <v>681195</v>
      </c>
      <c r="N6" s="116">
        <v>631849</v>
      </c>
      <c r="O6" s="121">
        <f>'Pt 1 Summary of Data'!Q12+'Pt 1 Summary of Data'!Q22</f>
        <v>764712</v>
      </c>
      <c r="P6" s="121">
        <f>SUM(M6:O6)</f>
        <v>2077756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581</v>
      </c>
      <c r="D7" s="116">
        <v>309</v>
      </c>
      <c r="E7" s="121">
        <f>SUM('Pt 1 Summary of Data'!E37:E41)+MAX(0,MIN('Pt 1 Summary of Data'!E42,0.3%*('Pt 1 Summary of Data'!E5-SUM(E9:E11))))</f>
        <v>0</v>
      </c>
      <c r="F7" s="121">
        <f>SUM(C7:E7)</f>
        <v>890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8375</v>
      </c>
      <c r="N7" s="116">
        <v>4494</v>
      </c>
      <c r="O7" s="121">
        <f>SUM('Pt 1 Summary of Data'!Q37:Q41)+MAX(0,MIN('Pt 1 Summary of Data'!Q42,0.3%*('Pt 1 Summary of Data'!Q5)))</f>
        <v>7602</v>
      </c>
      <c r="P7" s="121">
        <f>SUM(M7:O7)</f>
        <v>20471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88782</v>
      </c>
      <c r="D12" s="121">
        <f>SUM(D$6:D$7)+IF(AND(OR('Company Information'!$C$12="District of Columbia",'Company Information'!$C$12="Massachusetts",'Company Information'!$C$12="Vermont"),SUM($C$6:$F$11,$C$15:$F$16,$C$37:$D$37)&lt;&gt;0),SUM(I$6:I$7),0)</f>
        <v>109941</v>
      </c>
      <c r="E12" s="121">
        <f>SUM(E$6:E$7)-SUM(E$8:E$11)+IF(AND(OR('Company Information'!$C$12="District of Columbia",'Company Information'!$C$12="Massachusetts",'Company Information'!$C$12="Vermont"),SUM($C$6:$F$11,$C$15:$F$16,$C$37:$D$37)&lt;&gt;0),SUM(J$6:J$7)-SUM(J$10:J$11),0)</f>
        <v>-68</v>
      </c>
      <c r="F12" s="121">
        <f>IFERROR(SUM(C$12:E$12)+C$17*MAX(0,E$49-C$49)+D$17*MAX(0,E$49-D$49),0)</f>
        <v>198655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4</v>
      </c>
      <c r="J12" s="121">
        <f>SUM(J$6:J$7)-SUM(J$10:J$11)+IF(AND(OR('Company Information'!$C$12="District of Columbia",'Company Information'!$C$12="Massachusetts",'Company Information'!$C$12="Vermont"),SUM($H$6:$K$11,$H$15:$K$16,$H$37:$I$37)&lt;&gt;0),SUM(E$6:E$7)-SUM(E$8:E$11),0)</f>
        <v>0</v>
      </c>
      <c r="K12" s="121">
        <f>IFERROR(SUM(H$12:J$12)+H$17*MAX(0,J$49-H$49)+I$17*MAX(0,J$49-I$49),0)</f>
        <v>4</v>
      </c>
      <c r="L12" s="317"/>
      <c r="M12" s="120">
        <f>SUM(M$6:M$7)</f>
        <v>689570</v>
      </c>
      <c r="N12" s="121">
        <f>SUM(N$6:N$7)</f>
        <v>636343</v>
      </c>
      <c r="O12" s="121">
        <f>SUM(O$6:O$7)</f>
        <v>772314</v>
      </c>
      <c r="P12" s="121">
        <f>SUM(M$12:O$12)+M$17*MAX(0,O$49-M$49)+N$17*MAX(0,O$49-N$49)</f>
        <v>2098227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188589</v>
      </c>
      <c r="D15" s="124">
        <v>151338</v>
      </c>
      <c r="E15" s="112">
        <f>SUM('Pt 1 Summary of Data'!E$5:E$7)+SUM('Pt 1 Summary of Data'!G$5:G$7)-SUM('Pt 1 Summary of Data'!H$5:H$7)-SUM(E$9:E$11)+D$55</f>
        <v>0</v>
      </c>
      <c r="F15" s="112">
        <f>SUM(C15:E15)</f>
        <v>339927</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1019015</v>
      </c>
      <c r="N15" s="124">
        <v>900166</v>
      </c>
      <c r="O15" s="112">
        <f>SUM('Pt 1 Summary of Data'!Q5:Q7)+N55</f>
        <v>1071966</v>
      </c>
      <c r="P15" s="112">
        <f>SUM(M15:O15)</f>
        <v>2991147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32382</v>
      </c>
      <c r="D16" s="116">
        <v>317080</v>
      </c>
      <c r="E16" s="121">
        <f>'Pt 1 Summary of Data'!E25+'Pt 1 Summary of Data'!E26+'Pt 1 Summary of Data'!E27+'Pt 1 Summary of Data'!E28+'Pt 1 Summary of Data'!E30+'Pt 1 Summary of Data'!E31+'Pt 1 Summary of Data'!E34+'Pt 1 Summary of Data'!E35+'Pt 3 MLR and Rebate Calculation'!D56</f>
        <v>3565</v>
      </c>
      <c r="F16" s="121">
        <f>SUM(C16:E16)</f>
        <v>353027</v>
      </c>
      <c r="G16" s="122">
        <f>'Pt 1 Summary of Data'!I25+'Pt 1 Summary of Data'!I26+'Pt 1 Summary of Data'!I27+'Pt 1 Summary of Data'!I28+'Pt 1 Summary of Data'!I30+'Pt 1 Summary of Data'!I31+'Pt 1 Summary of Data'!I34+'Pt 1 Summary of Data'!I35</f>
        <v>0</v>
      </c>
      <c r="H16" s="115">
        <v>-126</v>
      </c>
      <c r="I16" s="116">
        <v>0</v>
      </c>
      <c r="J16" s="121">
        <f>'Pt 1 Summary of Data'!K25+'Pt 1 Summary of Data'!K26+'Pt 1 Summary of Data'!K27+'Pt 1 Summary of Data'!K28+'Pt 1 Summary of Data'!K30+'Pt 1 Summary of Data'!K31+'Pt 1 Summary of Data'!K34+'Pt 1 Summary of Data'!K35+'Pt 3 MLR and Rebate Calculation'!I56</f>
        <v>35</v>
      </c>
      <c r="K16" s="121">
        <f>SUM(H16:J16)</f>
        <v>-91</v>
      </c>
      <c r="L16" s="122">
        <f>'Pt 1 Summary of Data'!O25+'Pt 1 Summary of Data'!O26+'Pt 1 Summary of Data'!O27+'Pt 1 Summary of Data'!O28+'Pt 1 Summary of Data'!O30+'Pt 1 Summary of Data'!O31+'Pt 1 Summary of Data'!O34+'Pt 1 Summary of Data'!O35</f>
        <v>0</v>
      </c>
      <c r="M16" s="115">
        <v>6028</v>
      </c>
      <c r="N16" s="116">
        <v>-1348</v>
      </c>
      <c r="O16" s="121">
        <f>'Pt 1 Summary of Data'!Q25+'Pt 1 Summary of Data'!Q26+'Pt 1 Summary of Data'!Q27+'Pt 1 Summary of Data'!Q28+'Pt 1 Summary of Data'!Q30+'Pt 1 Summary of Data'!Q31+'Pt 1 Summary of Data'!Q34+'Pt 1 Summary of Data'!Q35+'Pt 3 MLR and Rebate Calculation'!N56</f>
        <v>24888</v>
      </c>
      <c r="P16" s="121">
        <f>SUM(M16:O16)</f>
        <v>29568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156207</v>
      </c>
      <c r="D17" s="121">
        <f>D$15-D$16+IF(AND(OR('Company Information'!$C$12="District of Columbia",'Company Information'!$C$12="Massachusetts",'Company Information'!$C$12="Vermont"),SUM($C$6:$F$11,$C$15:$F$16,$C$37:$D$37)&lt;&gt;0),I$15-I$16,0)</f>
        <v>-165742</v>
      </c>
      <c r="E17" s="121">
        <f>E$15-E$16+IF(AND(OR('Company Information'!$C$12="District of Columbia",'Company Information'!$C$12="Massachusetts",'Company Information'!$C$12="Vermont"),SUM($C$6:$F$11,$C$15:$F$16,$C$37:$D$37)&lt;&gt;0),J$15-J$16,0)</f>
        <v>-3565</v>
      </c>
      <c r="F17" s="121">
        <f>F$15-F$16+IF(AND(OR('Company Information'!$C$12="District of Columbia",'Company Information'!$C$12="Massachusetts",'Company Information'!$C$12="Vermont"),SUM($C$6:$F$11,$C$15:$F$16,$C$37:$D$37)&lt;&gt;0),K$15-K$16,0)</f>
        <v>-13100</v>
      </c>
      <c r="G17" s="320"/>
      <c r="H17" s="120">
        <f>H$15-H$16+IF(AND(OR('Company Information'!$C$12="District of Columbia",'Company Information'!$C$12="Massachusetts",'Company Information'!$C$12="Vermont"),SUM($H$6:$K$11,$H$15:$K$16,$H$37:$I$37)&lt;&gt;0),C$15-C$16,0)</f>
        <v>126</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-35</v>
      </c>
      <c r="K17" s="121">
        <f>K$15-K$16+IF(AND(OR('Company Information'!$C$12="District of Columbia",'Company Information'!$C$12="Massachusetts",'Company Information'!$C$12="Vermont"),SUM($H$6:$K$11,$H$15:$K$16,$H$37:$I$37)&lt;&gt;0),F$15-F$16,0)</f>
        <v>91</v>
      </c>
      <c r="L17" s="320"/>
      <c r="M17" s="120">
        <f>M$15-M$16</f>
        <v>1012987</v>
      </c>
      <c r="N17" s="121">
        <f>N$15-N$16</f>
        <v>901514</v>
      </c>
      <c r="O17" s="121">
        <f>O$15-O$16</f>
        <v>1047078</v>
      </c>
      <c r="P17" s="121">
        <f>P$15-P$16</f>
        <v>2961579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0</v>
      </c>
      <c r="I37" s="128">
        <v>0</v>
      </c>
      <c r="J37" s="262">
        <f>'Pt 1 Summary of Data'!K60</f>
        <v>0</v>
      </c>
      <c r="K37" s="262">
        <f>SUM(H37:J37)</f>
        <v>0</v>
      </c>
      <c r="L37" s="318"/>
      <c r="M37" s="127">
        <v>196</v>
      </c>
      <c r="N37" s="128">
        <v>155</v>
      </c>
      <c r="O37" s="262">
        <f>'Pt 1 Summary of Data'!Q60</f>
        <v>176.5</v>
      </c>
      <c r="P37" s="262">
        <f>SUM(M37:O37)</f>
        <v>527.5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91</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