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46" i="10"/>
  <c r="Z17" i="10"/>
  <c r="Z13" i="10"/>
  <c r="Y17" i="10"/>
  <c r="Y46" i="10" s="1"/>
  <c r="Y13" i="10"/>
  <c r="X41" i="10"/>
  <c r="W16" i="10"/>
  <c r="X16" i="10" s="1"/>
  <c r="T41" i="10"/>
  <c r="S16" i="10"/>
  <c r="T16" i="10" s="1"/>
  <c r="S15" i="10"/>
  <c r="P41" i="10"/>
  <c r="O38" i="10"/>
  <c r="O16" i="10"/>
  <c r="P16" i="10" s="1"/>
  <c r="N17" i="10"/>
  <c r="N45" i="10" s="1"/>
  <c r="N12" i="10"/>
  <c r="M45" i="10"/>
  <c r="M17" i="10"/>
  <c r="M12" i="10"/>
  <c r="L60" i="10"/>
  <c r="L59" i="10"/>
  <c r="L36" i="10"/>
  <c r="L35" i="10"/>
  <c r="L16" i="10"/>
  <c r="L10" i="10"/>
  <c r="L15" i="10" s="1"/>
  <c r="K41" i="10"/>
  <c r="K16" i="10"/>
  <c r="K11" i="10"/>
  <c r="K10" i="10"/>
  <c r="J16" i="10"/>
  <c r="J11" i="10"/>
  <c r="J10" i="10"/>
  <c r="G60" i="10"/>
  <c r="G59" i="10"/>
  <c r="G36" i="10"/>
  <c r="G35" i="10"/>
  <c r="G16" i="10"/>
  <c r="G10" i="10"/>
  <c r="G9" i="10"/>
  <c r="G8" i="10"/>
  <c r="F41" i="10"/>
  <c r="F8" i="10"/>
  <c r="E16" i="10"/>
  <c r="F16" i="10" s="1"/>
  <c r="E11" i="10"/>
  <c r="F11" i="10" s="1"/>
  <c r="E10" i="10"/>
  <c r="F10" i="10" s="1"/>
  <c r="E9" i="10"/>
  <c r="F9" i="10" s="1"/>
  <c r="E8" i="10"/>
  <c r="AU55" i="18"/>
  <c r="AU54" i="18"/>
  <c r="AT55" i="18"/>
  <c r="AT22" i="4" s="1"/>
  <c r="AT54" i="18"/>
  <c r="AT12" i="4" s="1"/>
  <c r="AS55" i="18"/>
  <c r="AS54" i="18"/>
  <c r="AC55" i="18"/>
  <c r="AC22" i="4" s="1"/>
  <c r="AC54" i="18"/>
  <c r="AC12" i="4" s="1"/>
  <c r="AB55" i="18"/>
  <c r="AB54" i="18"/>
  <c r="AA55" i="18"/>
  <c r="AA22" i="4" s="1"/>
  <c r="AA54" i="18"/>
  <c r="AA12" i="4" s="1"/>
  <c r="Z55" i="18"/>
  <c r="Z54" i="18"/>
  <c r="Y55" i="18"/>
  <c r="Y22" i="4" s="1"/>
  <c r="W6" i="10" s="1"/>
  <c r="Y54" i="18"/>
  <c r="Y12" i="4"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L6" i="10" s="1"/>
  <c r="L20" i="10" s="1"/>
  <c r="O54" i="18"/>
  <c r="O12" i="4" s="1"/>
  <c r="N55" i="18"/>
  <c r="N54" i="18"/>
  <c r="M55" i="18"/>
  <c r="M22" i="4" s="1"/>
  <c r="M54" i="18"/>
  <c r="M12" i="4" s="1"/>
  <c r="L55" i="18"/>
  <c r="L54" i="18"/>
  <c r="K55" i="18"/>
  <c r="K22" i="4" s="1"/>
  <c r="J6" i="10" s="1"/>
  <c r="K54" i="18"/>
  <c r="K12" i="4" s="1"/>
  <c r="J55" i="18"/>
  <c r="J54" i="18"/>
  <c r="I55" i="18"/>
  <c r="I22" i="4" s="1"/>
  <c r="I54" i="18"/>
  <c r="I12" i="4" s="1"/>
  <c r="H55" i="18"/>
  <c r="H54" i="18"/>
  <c r="G55" i="18"/>
  <c r="G22" i="4" s="1"/>
  <c r="G54" i="18"/>
  <c r="G12" i="4" s="1"/>
  <c r="F55" i="18"/>
  <c r="F54" i="18"/>
  <c r="E55" i="18"/>
  <c r="E22" i="4" s="1"/>
  <c r="E54" i="18"/>
  <c r="E12" i="4" s="1"/>
  <c r="D55" i="18"/>
  <c r="D54" i="18"/>
  <c r="AV60" i="4"/>
  <c r="AU60" i="4"/>
  <c r="AU22" i="4"/>
  <c r="AU12" i="4"/>
  <c r="AU5" i="4"/>
  <c r="AT60" i="4"/>
  <c r="AT5" i="4"/>
  <c r="AS60" i="4"/>
  <c r="AS22" i="4"/>
  <c r="AS12" i="4"/>
  <c r="AS5" i="4"/>
  <c r="AC60" i="4"/>
  <c r="AC5" i="4"/>
  <c r="AB60" i="4"/>
  <c r="AB22" i="4"/>
  <c r="AB12" i="4"/>
  <c r="AA6" i="10" s="1"/>
  <c r="AB6" i="10" s="1"/>
  <c r="AB5" i="4"/>
  <c r="AA60" i="4"/>
  <c r="AA5" i="4"/>
  <c r="Z60" i="4"/>
  <c r="Z22" i="4"/>
  <c r="Z12" i="4"/>
  <c r="Z5" i="4"/>
  <c r="Y60" i="4"/>
  <c r="Y5" i="4"/>
  <c r="X60" i="4"/>
  <c r="X22" i="4"/>
  <c r="X12" i="4"/>
  <c r="X5" i="4"/>
  <c r="W60" i="4"/>
  <c r="W5" i="4"/>
  <c r="V60" i="4"/>
  <c r="V22" i="4"/>
  <c r="V12" i="4"/>
  <c r="S6" i="10" s="1"/>
  <c r="V5" i="4"/>
  <c r="S7" i="10" s="1"/>
  <c r="T7" i="10" s="1"/>
  <c r="U60" i="4"/>
  <c r="U5" i="4"/>
  <c r="T60" i="4"/>
  <c r="T22" i="4"/>
  <c r="T12" i="4"/>
  <c r="T5" i="4"/>
  <c r="S60" i="4"/>
  <c r="S5" i="4"/>
  <c r="R60" i="4"/>
  <c r="R22" i="4"/>
  <c r="R12" i="4"/>
  <c r="R5" i="4"/>
  <c r="Q60" i="4"/>
  <c r="Q5" i="4"/>
  <c r="P60" i="4"/>
  <c r="P22" i="4"/>
  <c r="P12" i="4"/>
  <c r="P5" i="4"/>
  <c r="O60" i="4"/>
  <c r="O5" i="4"/>
  <c r="L7" i="10" s="1"/>
  <c r="N60" i="4"/>
  <c r="N22" i="4"/>
  <c r="N12" i="4"/>
  <c r="N5" i="4"/>
  <c r="M60" i="4"/>
  <c r="M5" i="4"/>
  <c r="L60" i="4"/>
  <c r="L22" i="4"/>
  <c r="L12" i="4"/>
  <c r="L5" i="4"/>
  <c r="K60" i="4"/>
  <c r="K5" i="4"/>
  <c r="J60" i="4"/>
  <c r="J22" i="4"/>
  <c r="J12" i="4"/>
  <c r="J5" i="4"/>
  <c r="I60" i="4"/>
  <c r="I5" i="4"/>
  <c r="H60" i="4"/>
  <c r="H22" i="4"/>
  <c r="H12" i="4"/>
  <c r="H5" i="4"/>
  <c r="G60" i="4"/>
  <c r="G5" i="4"/>
  <c r="F60" i="4"/>
  <c r="F22" i="4"/>
  <c r="F12" i="4"/>
  <c r="F5" i="4"/>
  <c r="E60" i="4"/>
  <c r="E5" i="4"/>
  <c r="E7" i="10" s="1"/>
  <c r="F7" i="10" s="1"/>
  <c r="D60" i="4"/>
  <c r="D22" i="4"/>
  <c r="D12" i="4"/>
  <c r="D5" i="4"/>
  <c r="P6" i="10" l="1"/>
  <c r="G15" i="10"/>
  <c r="G7" i="10"/>
  <c r="O15" i="10"/>
  <c r="O7" i="10"/>
  <c r="P7" i="10" s="1"/>
  <c r="W15" i="10"/>
  <c r="W7" i="10"/>
  <c r="X7" i="10" s="1"/>
  <c r="AA7" i="10"/>
  <c r="AB7" i="10" s="1"/>
  <c r="AB13" i="10" s="1"/>
  <c r="AA15" i="10"/>
  <c r="K6" i="10"/>
  <c r="X6" i="10"/>
  <c r="E15" i="10"/>
  <c r="L23" i="10"/>
  <c r="J15" i="10"/>
  <c r="L32" i="10"/>
  <c r="L24" i="10"/>
  <c r="L22" i="10"/>
  <c r="L27" i="10"/>
  <c r="L58" i="10"/>
  <c r="L19" i="10" s="1"/>
  <c r="AA13" i="10"/>
  <c r="AB42" i="10"/>
  <c r="G58" i="10"/>
  <c r="G19" i="10" s="1"/>
  <c r="J7" i="10"/>
  <c r="K7" i="10" s="1"/>
  <c r="T15" i="10"/>
  <c r="T6" i="10"/>
  <c r="E6" i="10"/>
  <c r="G6" i="10"/>
  <c r="G20" i="10" s="1"/>
  <c r="S38" i="10"/>
  <c r="P38" i="10"/>
  <c r="H17" i="10" l="1"/>
  <c r="P53" i="10"/>
  <c r="E11" i="16" s="1"/>
  <c r="P52" i="10"/>
  <c r="P45" i="10"/>
  <c r="P42" i="10"/>
  <c r="T38" i="10"/>
  <c r="R17" i="10"/>
  <c r="R46" i="10" s="1"/>
  <c r="Q17" i="10"/>
  <c r="S13" i="10"/>
  <c r="Q13" i="10"/>
  <c r="L21" i="10"/>
  <c r="L26" i="10" s="1"/>
  <c r="L25" i="10" s="1"/>
  <c r="L28" i="10" s="1"/>
  <c r="L30" i="10"/>
  <c r="L31" i="10" s="1"/>
  <c r="L29" i="10" s="1"/>
  <c r="L33" i="10" s="1"/>
  <c r="L34" i="10" s="1"/>
  <c r="AA17" i="10"/>
  <c r="AA46" i="10" s="1"/>
  <c r="AB39" i="10" s="1"/>
  <c r="AB15" i="10"/>
  <c r="AB17" i="10" s="1"/>
  <c r="R13" i="10"/>
  <c r="S17" i="10"/>
  <c r="S46" i="10" s="1"/>
  <c r="K15" i="10"/>
  <c r="J17" i="10"/>
  <c r="I12" i="10"/>
  <c r="I17" i="10"/>
  <c r="I45" i="10" s="1"/>
  <c r="P15" i="10"/>
  <c r="P17" i="10" s="1"/>
  <c r="O17" i="10"/>
  <c r="O45" i="10" s="1"/>
  <c r="P39" i="10" s="1"/>
  <c r="O12" i="10"/>
  <c r="P12" i="10" s="1"/>
  <c r="T17" i="10"/>
  <c r="F15" i="10"/>
  <c r="F17" i="10" s="1"/>
  <c r="F6" i="10"/>
  <c r="D12" i="10" s="1"/>
  <c r="C12" i="10"/>
  <c r="W13" i="10"/>
  <c r="J12" i="10"/>
  <c r="X15" i="10"/>
  <c r="W17" i="10"/>
  <c r="G32" i="10"/>
  <c r="G24" i="10"/>
  <c r="G27" i="10"/>
  <c r="G23" i="10"/>
  <c r="G22" i="10"/>
  <c r="Q46" i="10" l="1"/>
  <c r="T13" i="10"/>
  <c r="C17" i="10"/>
  <c r="E12" i="10"/>
  <c r="E17" i="10"/>
  <c r="P47" i="10"/>
  <c r="P48" i="10"/>
  <c r="P51" i="10" s="1"/>
  <c r="K12" i="10"/>
  <c r="H45" i="10"/>
  <c r="G21" i="10"/>
  <c r="G26" i="10" s="1"/>
  <c r="G25" i="10" s="1"/>
  <c r="G28" i="10" s="1"/>
  <c r="G30" i="10"/>
  <c r="G31" i="10" s="1"/>
  <c r="G29" i="10" s="1"/>
  <c r="G33" i="10" s="1"/>
  <c r="G34" i="10" s="1"/>
  <c r="X17" i="10"/>
  <c r="V17" i="10"/>
  <c r="V46" i="10" s="1"/>
  <c r="U17" i="10"/>
  <c r="U13" i="10"/>
  <c r="W38" i="10"/>
  <c r="V13" i="10"/>
  <c r="D17" i="10"/>
  <c r="D45" i="10" s="1"/>
  <c r="AB53" i="10"/>
  <c r="H11" i="16" s="1"/>
  <c r="AB46" i="10"/>
  <c r="E38" i="10"/>
  <c r="K17" i="10"/>
  <c r="H12" i="10"/>
  <c r="J38" i="10"/>
  <c r="T42" i="10"/>
  <c r="T46" i="10"/>
  <c r="T53" i="10"/>
  <c r="F11" i="16" s="1"/>
  <c r="T52" i="10"/>
  <c r="T39" i="10"/>
  <c r="T48" i="10" l="1"/>
  <c r="T51" i="10" s="1"/>
  <c r="T47" i="10"/>
  <c r="X13" i="10"/>
  <c r="U46" i="10"/>
  <c r="E45" i="10"/>
  <c r="F38" i="10"/>
  <c r="K38" i="10"/>
  <c r="J45" i="10"/>
  <c r="AB47" i="10"/>
  <c r="AB48" i="10"/>
  <c r="AB51" i="10" s="1"/>
  <c r="W46" i="10"/>
  <c r="X38" i="10"/>
  <c r="C45" i="10"/>
  <c r="F12" i="10"/>
  <c r="F42" i="10" l="1"/>
  <c r="F45" i="10"/>
  <c r="F53" i="10"/>
  <c r="C11" i="16" s="1"/>
  <c r="F52" i="10"/>
  <c r="F39" i="10"/>
  <c r="X53" i="10"/>
  <c r="G11" i="16" s="1"/>
  <c r="X39" i="10"/>
  <c r="X52" i="10"/>
  <c r="X46" i="10"/>
  <c r="X42" i="10"/>
  <c r="K53" i="10"/>
  <c r="D11" i="16" s="1"/>
  <c r="K39" i="10"/>
  <c r="K52" i="10"/>
  <c r="K45" i="10"/>
  <c r="K42" i="10"/>
  <c r="K47" i="10" l="1"/>
  <c r="K48" i="10"/>
  <c r="K51" i="10" s="1"/>
  <c r="F48" i="10"/>
  <c r="F51" i="10" s="1"/>
  <c r="F47" i="10"/>
  <c r="X47" i="10"/>
  <c r="X48" i="10"/>
  <c r="X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<sst xmlns="http://schemas.openxmlformats.org/spreadsheetml/2006/main" count="570" uniqueCount="508">
  <si>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</si>
  <si>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</si>
  <si>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</si>
  <si>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</si>
  <si>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</si>
  <si>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</si>
  <si>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</si>
  <si>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</si>
  <si>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</si>
  <si>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</si>
  <si>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</si>
  <si>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</si>
  <si>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</si>
  <si>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</si>
  <si>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</si>
  <si>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</si>
  <si>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</si>
  <si>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</si>
  <si>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</si>
  <si>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</si>
  <si>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</si>
  <si>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</si>
  <si>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</si>
  <si>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</si>
  <si>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</si>
  <si>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</si>
  <si>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</si>
  <si>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</si>
  <si>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</si>
  <si>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</si>
  <si>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</si>
  <si>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</si>
  <si>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</si>
  <si>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</si>
  <si>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</si>
  <si>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</si>
  <si>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</si>
  <si>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</si>
  <si>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</si>
  <si>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</si>
  <si>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</si>
  <si>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</si>
  <si>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</si>
  <si>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</si>
  <si>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</si>
  <si>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</si>
  <si>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</si>
  <si>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</si>
  <si>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</si>
  <si>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</si>
  <si>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</si>
  <si>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</si>
  <si>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</si>
  <si>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</si>
  <si>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</si>
  <si>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</si>
  <si>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</si>
  <si>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</si>
  <si>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</si>
  <si>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</si>
  <si>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</si>
  <si>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</si>
  <si>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</si>
  <si>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</si>
  <si>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</si>
  <si>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</si>
  <si>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</si>
  <si>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</si>
  <si>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</si>
  <si>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</si>
  <si>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</si>
  <si>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</si>
  <si>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</si>
  <si>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</si>
  <si>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</si>
  <si>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</si>
  <si>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</si>
  <si>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</si>
  <si>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</si>
  <si>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</si>
  <si>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</si>
  <si>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</si>
  <si>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</si>
  <si>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</si>
  <si>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</si>
  <si>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</si>
  <si>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</si>
  <si>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</si>
  <si>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</si>
  <si>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</si>
  <si>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</si>
  <si>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</si>
  <si>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</si>
  <si>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</si>
  <si>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</si>
  <si>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</si>
  <si>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</si>
  <si>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</si>
  <si>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</si>
  <si>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</si>
  <si>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</si>
  <si>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</si>
  <si>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</si>
  <si>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</si>
  <si>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</si>
  <si>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</si>
  <si>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</si>
  <si>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</si>
  <si>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</si>
  <si>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</si>
  <si>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</si>
  <si>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</si>
  <si>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</si>
  <si>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</si>
  <si>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</si>
  <si>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</si>
  <si>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</si>
  <si>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</si>
  <si>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</si>
  <si>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</si>
  <si>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</si>
  <si>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</si>
  <si>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</si>
  <si>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</si>
  <si>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</si>
  <si>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</si>
  <si>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</si>
  <si>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</si>
  <si>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</si>
  <si>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</si>
  <si>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</si>
  <si>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</si>
  <si>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</si>
  <si>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</si>
  <si>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</si>
  <si>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</si>
  <si>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</si>
  <si>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</si>
  <si>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</si>
  <si>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</si>
  <si>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</si>
  <si>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</si>
  <si>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</si>
  <si>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</si>
  <si>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</si>
  <si>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</si>
  <si>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</si>
  <si>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</si>
  <si>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</si>
  <si>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</si>
  <si>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</si>
  <si>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</si>
  <si>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</si>
  <si>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</si>
  <si>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</si>
  <si>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</si>
  <si>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</si>
  <si>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</si>
  <si>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</si>
  <si>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</si>
  <si>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</si>
  <si>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</si>
  <si>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</si>
  <si>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</si>
  <si>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</si>
  <si>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</si>
  <si>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</si>
  <si>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</si>
  <si>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</si>
  <si>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</si>
  <si>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</si>
  <si>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</si>
  <si>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</si>
  <si>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</si>
  <si>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</si>
  <si>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</si>
  <si>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</si>
  <si>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</si>
  <si>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</si>
  <si>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</si>
  <si>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</si>
  <si>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</si>
  <si>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</si>
  <si>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</si>
  <si>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</si>
  <si>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</si>
  <si>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</si>
  <si>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</si>
  <si>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</si>
  <si>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</si>
  <si>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</si>
  <si>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</si>
  <si>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</si>
  <si>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</si>
  <si>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</si>
  <si>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</si>
  <si>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</si>
  <si>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</si>
  <si>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</si>
  <si>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</si>
  <si>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</si>
  <si>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</si>
  <si>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</si>
  <si>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</si>
  <si>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</si>
  <si>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</si>
  <si>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</si>
  <si>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</si>
  <si>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</si>
  <si>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</si>
  <si>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</si>
  <si>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</si>
  <si>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</si>
  <si>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</si>
  <si>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</si>
  <si>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</si>
  <si>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</si>
  <si>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</si>
  <si>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</si>
  <si>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</si>
  <si>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</si>
  <si>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</si>
  <si>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</si>
  <si>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</si>
  <si>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</si>
  <si>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</si>
  <si>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</si>
  <si>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</si>
  <si>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</si>
  <si>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</si>
  <si>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</si>
  <si>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</si>
  <si>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</si>
  <si>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</si>
  <si>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</si>
  <si>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</si>
  <si>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</si>
  <si>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</si>
  <si>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</si>
  <si>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</si>
  <si>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</si>
  <si>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</si>
  <si>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</si>
  <si>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</si>
  <si>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</si>
  <si>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</si>
  <si>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</si>
  <si>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</si>
  <si>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</si>
  <si>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</si>
  <si>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</si>
  <si>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</si>
  <si>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</si>
  <si>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</si>
  <si>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</si>
  <si>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</si>
  <si>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</si>
  <si>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</si>
  <si>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</si>
  <si>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</si>
  <si>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</si>
  <si>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</si>
  <si>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</si>
  <si>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</si>
  <si>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</si>
  <si>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</si>
  <si>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</si>
  <si>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</si>
  <si>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</si>
  <si>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</si>
  <si>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</si>
  <si>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</si>
  <si>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</si>
  <si>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</si>
  <si>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</si>
  <si>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</si>
  <si>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</si>
  <si>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</si>
  <si>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</si>
  <si>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</si>
  <si>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</si>
  <si>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</si>
  <si>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</si>
  <si>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</si>
  <si>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</si>
  <si>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</si>
  <si>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</si>
  <si>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</si>
  <si>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</si>
  <si>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</si>
  <si>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</si>
  <si>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</si>
  <si>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</si>
  <si>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</si>
  <si>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</si>
  <si>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</si>
  <si>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</si>
  <si>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</si>
  <si>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</si>
  <si>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</si>
  <si>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</si>
  <si>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</si>
  <si>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</si>
  <si>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</si>
  <si>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</si>
  <si>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</si>
  <si>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</si>
  <si>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</si>
  <si>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</si>
  <si>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</si>
  <si>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</si>
  <si>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</si>
  <si>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</si>
  <si>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</si>
  <si>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</si>
  <si>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</si>
  <si>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</si>
  <si>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</si>
  <si>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</si>
  <si>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</si>
  <si>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</si>
  <si>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</si>
  <si>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</si>
  <si>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</si>
  <si>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</si>
  <si>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</si>
  <si>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</si>
  <si>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</si>
  <si>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</si>
  <si>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</si>
  <si>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</si>
  <si>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</si>
  <si>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</si>
  <si>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</si>
  <si>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</si>
  <si>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</si>
  <si>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</si>
  <si>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</si>
  <si>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</si>
  <si>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</si>
  <si>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</si>
  <si>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</si>
  <si>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</si>
  <si>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</si>
  <si>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</si>
  <si>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</si>
  <si>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</si>
  <si>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</si>
  <si>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</si>
  <si>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</si>
  <si>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</si>
  <si>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</si>
  <si>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</si>
  <si>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</si>
  <si>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</si>
  <si>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</si>
  <si>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</si>
  <si>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</si>
  <si>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</si>
  <si>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</si>
  <si>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</si>
  <si>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</si>
  <si>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</si>
  <si>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</si>
  <si>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</si>
  <si>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</si>
  <si>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</si>
  <si>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</si>
  <si>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</si>
  <si>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</si>
  <si>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</si>
  <si>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</si>
  <si>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</si>
  <si>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</si>
  <si>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</si>
  <si>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</si>
  <si>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</si>
  <si>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</si>
  <si>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</si>
  <si>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</si>
  <si>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</si>
  <si>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</si>
  <si>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</si>
  <si>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</si>
  <si>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</si>
  <si>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</si>
  <si>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</si>
  <si>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</si>
  <si>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</si>
  <si>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</si>
  <si>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</si>
  <si>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</si>
  <si>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</si>
  <si>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</si>
  <si>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</si>
  <si>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</si>
  <si>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</si>
  <si>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</si>
  <si>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</si>
  <si>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</si>
  <si>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</si>
  <si>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</si>
  <si>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</si>
  <si>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</si>
  <si>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</si>
  <si>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</si>
  <si>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</si>
  <si>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</si>
  <si>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</si>
  <si>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</si>
  <si>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</si>
  <si>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</si>
  <si>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</si>
  <si>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</si>
  <si>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</si>
  <si>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</si>
  <si>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</si>
  <si>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</si>
  <si>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</si>
  <si>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</si>
  <si>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</si>
  <si>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</si>
  <si>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</si>
  <si>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</si>
  <si>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</si>
  <si>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</si>
  <si>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</si>
  <si>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</si>
  <si>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</si>
  <si>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</si>
  <si>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</si>
  <si>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</si>
  <si>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</si>
  <si>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</si>
  <si>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</si>
  <si>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</si>
  <si>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</si>
  <si>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</si>
  <si>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</si>
  <si>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</si>
  <si>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</si>
  <si>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</si>
  <si>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</si>
  <si>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</si>
  <si>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</si>
  <si>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</si>
  <si>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</si>
  <si>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</si>
  <si>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</si>
  <si>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</si>
  <si>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</si>
  <si>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</si>
  <si>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</si>
  <si>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</si>
  <si>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</si>
  <si>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</si>
  <si>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</si>
  <si>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</si>
  <si>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</si>
  <si>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</si>
  <si>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</si>
  <si>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</si>
  <si>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</si>
  <si>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</si>
  <si>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</si>
  <si>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</si>
  <si>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</si>
  <si>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</si>
  <si>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</si>
  <si>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</si>
  <si>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</si>
  <si>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</si>
  <si>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</si>
  <si>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</si>
  <si>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</si>
  <si>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</si>
  <si>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</si>
  <si>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</si>
  <si>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</si>
  <si>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</si>
  <si>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</si>
  <si>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</si>
  <si>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</si>
  <si>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</si>
  <si>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</si>
  <si>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</si>
  <si>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</si>
  <si>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</si>
  <si>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</si>
  <si>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</si>
  <si>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</si>
  <si>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</si>
  <si>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</si>
  <si>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</si>
  <si>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</si>
  <si>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</si>
  <si>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Illinois, Inc.</t>
  </si>
  <si>
    <t>Cigna Hlth Grp</t>
  </si>
  <si>
    <t>N/A</t>
  </si>
  <si>
    <t>00901</t>
  </si>
  <si>
    <t>2015</t>
  </si>
  <si>
    <t>525 West Monroe, Suite 1650 Chicago, IL 60661</t>
  </si>
  <si>
    <t>363385638</t>
  </si>
  <si>
    <t>068867</t>
  </si>
  <si>
    <t>95602</t>
  </si>
  <si>
    <t>53882</t>
  </si>
  <si>
    <t>103</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</si>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</sst>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154</v>
      </c>
    </row>
    <row r="13" spans="1:6" x14ac:dyDescent="0.2">
      <c r="B13" s="153" t="s">
        <v>50</v>
      </c>
      <c r="C13" s="486" t="s">
        <v>154</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887929</v>
      </c>
      <c r="Q5" s="219">
        <f>SUM('Pt 2 Premium and Claims'!Q$5,'Pt 2 Premium and Claims'!Q$6,-'Pt 2 Premium and Claims'!Q$7,-'Pt 2 Premium and Claims'!Q$13,'Pt 2 Premium and Claims'!Q$14)</f>
        <v>887977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7</v>
      </c>
      <c r="Q7" s="223">
        <v>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-13543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-155</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433263</v>
      </c>
      <c r="Q12" s="219">
        <f>'Pt 2 Premium and Claims'!Q$54</f>
        <v>451308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126090</v>
      </c>
      <c r="Q13" s="223">
        <v>131305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52</v>
      </c>
      <c r="E25" s="223">
        <v>52</v>
      </c>
      <c r="F25" s="223"/>
      <c r="G25" s="223"/>
      <c r="H25" s="223"/>
      <c r="I25" s="222">
        <v>0</v>
      </c>
      <c r="J25" s="222">
        <v>0</v>
      </c>
      <c r="K25" s="223">
        <v>0</v>
      </c>
      <c r="L25" s="223"/>
      <c r="M25" s="223"/>
      <c r="N25" s="223"/>
      <c r="O25" s="222"/>
      <c r="P25" s="222">
        <v>92141</v>
      </c>
      <c r="Q25" s="223">
        <v>92141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-4512</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600</v>
      </c>
      <c r="Q26" s="223">
        <v>600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16291</v>
      </c>
      <c r="Q27" s="223">
        <v>16291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2289</v>
      </c>
      <c r="Q28" s="223">
        <v>2289</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1207</v>
      </c>
      <c r="Q30" s="223">
        <v>1207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-13</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312</v>
      </c>
      <c r="Q31" s="223">
        <v>312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6104</v>
      </c>
      <c r="Q34" s="223">
        <v>6104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6621</v>
      </c>
      <c r="Q35" s="223">
        <v>6621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618</v>
      </c>
      <c r="Q37" s="231">
        <v>834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317</v>
      </c>
      <c r="Q38" s="223">
        <v>320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89</v>
      </c>
      <c r="Q39" s="223">
        <v>4827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175</v>
      </c>
      <c r="Q40" s="223">
        <v>195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284</v>
      </c>
      <c r="Q41" s="223">
        <v>289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8</v>
      </c>
      <c r="Q42" s="223">
        <v>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6392</v>
      </c>
      <c r="Q44" s="231">
        <v>12014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4995</v>
      </c>
      <c r="Q45" s="223">
        <v>4995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1182</v>
      </c>
      <c r="Q46" s="223">
        <v>1182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32293</v>
      </c>
      <c r="Q47" s="223">
        <v>32293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4649</v>
      </c>
      <c r="Q49" s="223">
        <v>4649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532</v>
      </c>
      <c r="Q50" s="223">
        <v>532</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109673</v>
      </c>
      <c r="Q51" s="223">
        <v>109673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23</v>
      </c>
      <c r="Q53" s="223">
        <v>23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99</v>
      </c>
      <c r="Q56" s="235">
        <v>99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167</v>
      </c>
      <c r="Q57" s="238">
        <v>167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19</v>
      </c>
      <c r="Q58" s="238">
        <v>19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1710</v>
      </c>
      <c r="Q59" s="238">
        <v>1710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142.5</v>
      </c>
      <c r="Q60" s="241">
        <f>Q$59/12</f>
        <v>142.5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16953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887862</v>
      </c>
      <c r="Q5" s="332">
        <v>887910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-67</v>
      </c>
      <c r="Q13" s="325">
        <v>-67</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-155</v>
      </c>
      <c r="E23" s="368"/>
      <c r="F23" s="368"/>
      <c r="G23" s="368"/>
      <c r="H23" s="368"/>
      <c r="I23" s="370"/>
      <c r="J23" s="324">
        <v>0</v>
      </c>
      <c r="K23" s="368"/>
      <c r="L23" s="368"/>
      <c r="M23" s="368"/>
      <c r="N23" s="368"/>
      <c r="O23" s="370"/>
      <c r="P23" s="324">
        <v>466443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444459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47713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7043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80699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400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400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610</v>
      </c>
      <c r="Q36" s="325">
        <v>610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16</v>
      </c>
      <c r="Q45" s="325">
        <v>16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-155</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433263</v>
      </c>
      <c r="Q54" s="329">
        <f>Q24+Q27+Q31+Q35-Q36+Q39+Q42+Q45+Q46-Q49+Q51+Q52+Q53</f>
        <v>451308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109632</v>
      </c>
      <c r="D6" s="404">
        <v>-68</v>
      </c>
      <c r="E6" s="406">
        <f>SUM('Pt 1 Summary of Data'!E$12,'Pt 1 Summary of Data'!E$22)+SUM('Pt 1 Summary of Data'!G$12,'Pt 1 Summary of Data'!G$22)-SUM('Pt 1 Summary of Data'!H$12,'Pt 1 Summary of Data'!H$22)</f>
        <v>0</v>
      </c>
      <c r="F6" s="406">
        <f>SUM(C6:E6)</f>
        <v>109564</v>
      </c>
      <c r="G6" s="407">
        <f>SUM('Pt 1 Summary of Data'!I$12,'Pt 1 Summary of Data'!I$22)</f>
        <v>0</v>
      </c>
      <c r="H6" s="403">
        <v>4</v>
      </c>
      <c r="I6" s="404">
        <v>0</v>
      </c>
      <c r="J6" s="406">
        <f>SUM('Pt 1 Summary of Data'!K$12,'Pt 1 Summary of Data'!K$22)+SUM('Pt 1 Summary of Data'!M$12,'Pt 1 Summary of Data'!M$22)-SUM('Pt 1 Summary of Data'!N$12,'Pt 1 Summary of Data'!N$22)</f>
        <v>0</v>
      </c>
      <c r="K6" s="406">
        <f>SUM(H6:J6)</f>
        <v>4</v>
      </c>
      <c r="L6" s="407">
        <f>SUM('Pt 1 Summary of Data'!O$12,'Pt 1 Summary of Data'!O$22)</f>
        <v>0</v>
      </c>
      <c r="M6" s="403">
        <v>630956</v>
      </c>
      <c r="N6" s="404">
        <v>758255</v>
      </c>
      <c r="O6" s="406">
        <f>SUM('Pt 1 Summary of Data'!Q$12,'Pt 1 Summary of Data'!Q$22)+SUM('Pt 1 Summary of Data'!S$12,'Pt 1 Summary of Data'!S$22)-SUM('Pt 1 Summary of Data'!T$12,'Pt 1 Summary of Data'!T$22)</f>
        <v>451308</v>
      </c>
      <c r="P6" s="406">
        <f>SUM(M6:O6)</f>
        <v>1840519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309</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309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4494</v>
      </c>
      <c r="N7" s="404">
        <v>7602</v>
      </c>
      <c r="O7" s="406">
        <f>SUM('Pt 1 Summary of Data'!Q$37:Q$41)+SUM('Pt 1 Summary of Data'!S$37:S$41)-SUM('Pt 1 Summary of Data'!T$37:T$41)+MAX(0,MIN('Pt 1 Summary of Data'!Q$42+'Pt 1 Summary of Data'!S$42-'Pt 1 Summary of Data'!T$42,0.3%*('Pt 1 Summary of Data'!Q$5+'Pt 1 Summary of Data'!S$5-'Pt 1 Summary of Data'!T$5)))</f>
        <v>6473</v>
      </c>
      <c r="P7" s="406">
        <f>SUM(M7:O7)</f>
        <v>18569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109941</v>
      </c>
      <c r="D12" s="406">
        <f>SUM(D$6:D$7) - SUM(D$8:D$11)+IF(AND(OR('Company Information'!$C$12="District of Columbia",'Company Information'!$C$12="Massachusetts",'Company Information'!$C$12="Vermont"),SUM($C$6:$F$11,$C$15:$F$16,$C$38:$D$38)&lt;&gt;0),SUM(I$6:I$7) - SUM(I$10:I$11),0)</f>
        <v>-68</v>
      </c>
      <c r="E12" s="406">
        <f>SUM(E$6:E$7)-SUM(E$8:E$11)+IF(AND(OR('Company Information'!$C$12="District of Columbia",'Company Information'!$C$12="Massachusetts",'Company Information'!$C$12="Vermont"),SUM($C$6:$F$11,$C$15:$F$16,$C$38:$D$38)&lt;&gt;0),SUM(J$6:J$7)-SUM(J$10:J$11),0)</f>
        <v>0</v>
      </c>
      <c r="F12" s="406">
        <f>IFERROR(SUM(C$12:E$12)+C$17*MAX(0,E$50-C$50)+D$17*MAX(0,E$50-D$50),0)</f>
        <v>109873</v>
      </c>
      <c r="G12" s="453"/>
      <c r="H12" s="405">
        <f>SUM(H$6:H$7)+IF(AND(OR('Company Information'!$C$12="District of Columbia",'Company Information'!$C$12="Massachusetts",'Company Information'!$C$12="Vermont"),SUM($H$6:$K$11,$H$15:$K$16,$H$38:$I$38)&lt;&gt;0),SUM(C$6:C$7),0)</f>
        <v>4</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4</v>
      </c>
      <c r="L12" s="453"/>
      <c r="M12" s="405">
        <f>SUM(M$6:M$7)</f>
        <v>635450</v>
      </c>
      <c r="N12" s="406">
        <f>SUM(N$6:N$7)</f>
        <v>765857</v>
      </c>
      <c r="O12" s="406">
        <f>SUM(O$6:O$7)</f>
        <v>457781</v>
      </c>
      <c r="P12" s="406">
        <f>SUM(M$12:O$12)+M$17*MAX(0,O$50-M$50)+N$17*MAX(0,O$50-N$50)</f>
        <v>1859088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151338</v>
      </c>
      <c r="D15" s="409">
        <v>0</v>
      </c>
      <c r="E15" s="401">
        <f>SUM('Pt 1 Summary of Data'!E$5:E$7)+SUM('Pt 1 Summary of Data'!G$5:G$7)-SUM('Pt 1 Summary of Data'!H$5:H$7)-SUM(E$9:E$11)</f>
        <v>0</v>
      </c>
      <c r="F15" s="401">
        <f>SUM(C15:E15)</f>
        <v>151338</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900166</v>
      </c>
      <c r="N15" s="409">
        <v>1071966</v>
      </c>
      <c r="O15" s="401">
        <f>SUM('Pt 1 Summary of Data'!Q$5:Q$7)+SUM('Pt 1 Summary of Data'!S$5:S$7)-SUM('Pt 1 Summary of Data'!T$5:T$7)+N$56</f>
        <v>887984</v>
      </c>
      <c r="P15" s="401">
        <f>SUM(M15:O15)</f>
        <v>2860116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317080</v>
      </c>
      <c r="D16" s="404">
        <v>3565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52</v>
      </c>
      <c r="F16" s="406">
        <f>SUM(C16:E16)</f>
        <v>320697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34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34</v>
      </c>
      <c r="L16" s="407">
        <f>SUM('Pt 1 Summary of Data'!O$25:O$28,'Pt 1 Summary of Data'!O$30,'Pt 1 Summary of Data'!O$34:O$35)+IF('Company Information'!$C$15="No",IF(MAX('Pt 1 Summary of Data'!O$31:O$32)=0,MIN('Pt 1 Summary of Data'!O$31:O$32),MAX('Pt 1 Summary of Data'!O$31:O$32)),SUM('Pt 1 Summary of Data'!O$31:O$32))</f>
        <v>0</v>
      </c>
      <c r="M16" s="403">
        <v>-1348</v>
      </c>
      <c r="N16" s="404">
        <v>24887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125565</v>
      </c>
      <c r="P16" s="406">
        <f>SUM(M16:O16)</f>
        <v>149104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-165742</v>
      </c>
      <c r="D17" s="406">
        <f>D$15-D$16+IF(AND(OR('Company Information'!$C$12="District of Columbia",'Company Information'!$C$12="Massachusetts",'Company Information'!$C$12="Vermont"),SUM($C$6:$F$11,$C$15:$F$16,$C$38:$D$38)&lt;&gt;0),I$15-I$16,0)</f>
        <v>-3565</v>
      </c>
      <c r="E17" s="406">
        <f>E$15-E$16+IF(AND(OR('Company Information'!$C$12="District of Columbia",'Company Information'!$C$12="Massachusetts",'Company Information'!$C$12="Vermont"),SUM($C$6:$F$11,$C$15:$F$16,$C$38:$D$38)&lt;&gt;0),J$15-J$16,0)</f>
        <v>-52</v>
      </c>
      <c r="F17" s="406">
        <f>F$15-F$16+IF(AND(OR('Company Information'!$C$12="District of Columbia",'Company Information'!$C$12="Massachusetts",'Company Information'!$C$12="Vermont"),SUM($C$6:$F$11,$C$15:$F$16,$C$38:$D$38)&lt;&gt;0),K$15-K$16,0)</f>
        <v>-169359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-34</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-34</v>
      </c>
      <c r="L17" s="456"/>
      <c r="M17" s="405">
        <f>M$15-M$16</f>
        <v>901514</v>
      </c>
      <c r="N17" s="406">
        <f>N$15-N$16</f>
        <v>1047079</v>
      </c>
      <c r="O17" s="406">
        <f>O$15-O$16</f>
        <v>762419</v>
      </c>
      <c r="P17" s="406">
        <f>P$15-P$16</f>
        <v>2711012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7</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154</v>
      </c>
      <c r="N38" s="411">
        <v>177</v>
      </c>
      <c r="O38" s="438">
        <f>('Pt 1 Summary of Data'!Q$59+'Pt 1 Summary of Data'!S$59-'Pt 1 Summary of Data'!T$59)/12</f>
        <v>142.5</v>
      </c>
      <c r="P38" s="438">
        <f>SUM(M$38:O$38)</f>
        <v>473.5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99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