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44" i="10"/>
  <c r="N17" i="10"/>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A6" i="10" s="1"/>
  <c r="AB11" i="18"/>
  <c r="AB10" i="18"/>
  <c r="AA55" i="18"/>
  <c r="AA22" i="4" s="1"/>
  <c r="AA54" i="18"/>
  <c r="AA12" i="18"/>
  <c r="AA11" i="18"/>
  <c r="AA9" i="18"/>
  <c r="Y56" i="18"/>
  <c r="Y55" i="18" s="1"/>
  <c r="Y22" i="4" s="1"/>
  <c r="Y36" i="18"/>
  <c r="Y35" i="18"/>
  <c r="Y54" i="18" s="1"/>
  <c r="Y12" i="4" s="1"/>
  <c r="Y11" i="18"/>
  <c r="Y10" i="18"/>
  <c r="X55" i="18"/>
  <c r="X54" i="18"/>
  <c r="X12" i="4" s="1"/>
  <c r="X12" i="18"/>
  <c r="X11" i="18"/>
  <c r="X9" i="18"/>
  <c r="V56" i="18"/>
  <c r="V55" i="18" s="1"/>
  <c r="V22" i="4" s="1"/>
  <c r="V36" i="18"/>
  <c r="V35" i="18"/>
  <c r="V54" i="18" s="1"/>
  <c r="V12" i="4" s="1"/>
  <c r="S6" i="10" s="1"/>
  <c r="V11" i="18"/>
  <c r="V10" i="18"/>
  <c r="V6" i="18"/>
  <c r="U55" i="18"/>
  <c r="U54" i="18"/>
  <c r="U12" i="18"/>
  <c r="U11" i="18"/>
  <c r="U9" i="18"/>
  <c r="Q56" i="18"/>
  <c r="Q55" i="18" s="1"/>
  <c r="Q22" i="4" s="1"/>
  <c r="Q36" i="18"/>
  <c r="Q54" i="18" s="1"/>
  <c r="Q12" i="4" s="1"/>
  <c r="Q35" i="18"/>
  <c r="Q11" i="18"/>
  <c r="Q10" i="18"/>
  <c r="P55" i="18"/>
  <c r="P22" i="4" s="1"/>
  <c r="P54" i="18"/>
  <c r="P12" i="18"/>
  <c r="P11" i="18"/>
  <c r="P9" i="18"/>
  <c r="O55" i="18"/>
  <c r="O54" i="18"/>
  <c r="O11" i="18"/>
  <c r="O10" i="18"/>
  <c r="K56" i="18"/>
  <c r="K55" i="18" s="1"/>
  <c r="K22" i="4" s="1"/>
  <c r="K36" i="18"/>
  <c r="K54" i="18" s="1"/>
  <c r="K12" i="4" s="1"/>
  <c r="J6" i="10" s="1"/>
  <c r="K35" i="18"/>
  <c r="K17" i="18"/>
  <c r="K11" i="18"/>
  <c r="K10" i="18"/>
  <c r="K6" i="18"/>
  <c r="J55" i="18"/>
  <c r="J54" i="18"/>
  <c r="J17" i="18"/>
  <c r="J16" i="18"/>
  <c r="J12" i="18"/>
  <c r="J11" i="18"/>
  <c r="J9" i="18"/>
  <c r="I55" i="18"/>
  <c r="I54" i="18"/>
  <c r="I11" i="18"/>
  <c r="I10" i="18"/>
  <c r="E56" i="18"/>
  <c r="E55" i="18" s="1"/>
  <c r="E22" i="4" s="1"/>
  <c r="E36" i="18"/>
  <c r="E54" i="18" s="1"/>
  <c r="E12" i="4"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37" i="10" l="1"/>
  <c r="K15" i="10"/>
  <c r="K37" i="10"/>
  <c r="P15" i="10"/>
  <c r="P17" i="10" s="1"/>
  <c r="O17" i="10"/>
  <c r="P37" i="10"/>
  <c r="T37" i="10"/>
  <c r="K6" i="10"/>
  <c r="J17" i="10" s="1"/>
  <c r="J44" i="10" s="1"/>
  <c r="T6" i="10"/>
  <c r="Q17" i="10" s="1"/>
  <c r="Q13" i="10"/>
  <c r="AA13" i="10"/>
  <c r="AB6" i="10"/>
  <c r="G20" i="10"/>
  <c r="T15" i="10"/>
  <c r="L20" i="10"/>
  <c r="E6" i="10"/>
  <c r="O6" i="10"/>
  <c r="W6" i="10"/>
  <c r="AB13" i="10"/>
  <c r="L29" i="10"/>
  <c r="L25" i="10"/>
  <c r="L21" i="10"/>
  <c r="L28" i="10"/>
  <c r="L24" i="10"/>
  <c r="F15" i="10"/>
  <c r="X37" i="10"/>
  <c r="AB37" i="10"/>
  <c r="J7" i="10"/>
  <c r="K7" i="10" s="1"/>
  <c r="M44" i="10"/>
  <c r="S7" i="10"/>
  <c r="T7" i="10" s="1"/>
  <c r="Z45" i="10"/>
  <c r="AA15" i="10"/>
  <c r="E7" i="10"/>
  <c r="F7" i="10" s="1"/>
  <c r="L19" i="10"/>
  <c r="O7" i="10"/>
  <c r="P7" i="10" s="1"/>
  <c r="W15" i="10"/>
  <c r="G7" i="10"/>
  <c r="G21" i="10" s="1"/>
  <c r="Q45" i="10" l="1"/>
  <c r="G27" i="10"/>
  <c r="K17" i="10"/>
  <c r="G29" i="10"/>
  <c r="O12" i="10"/>
  <c r="P6" i="10"/>
  <c r="S17" i="10"/>
  <c r="S45" i="10" s="1"/>
  <c r="R17" i="10"/>
  <c r="R45" i="10" s="1"/>
  <c r="I12" i="10"/>
  <c r="H17" i="10"/>
  <c r="P51" i="10"/>
  <c r="X6" i="10"/>
  <c r="AB45" i="10"/>
  <c r="AB47" i="10" s="1"/>
  <c r="AB50" i="10" s="1"/>
  <c r="AB41" i="10"/>
  <c r="AB51" i="10"/>
  <c r="AB52" i="10" s="1"/>
  <c r="H11" i="16" s="1"/>
  <c r="AB46" i="10"/>
  <c r="AB38" i="10"/>
  <c r="C12" i="10"/>
  <c r="F6" i="10"/>
  <c r="C17" i="10" s="1"/>
  <c r="S13" i="10"/>
  <c r="K51" i="10"/>
  <c r="K52" i="10" s="1"/>
  <c r="D11" i="16" s="1"/>
  <c r="K46" i="10"/>
  <c r="K44" i="10"/>
  <c r="K47" i="10" s="1"/>
  <c r="K50" i="10" s="1"/>
  <c r="K41" i="10"/>
  <c r="F51" i="10"/>
  <c r="F52" i="10" s="1"/>
  <c r="C11" i="16" s="1"/>
  <c r="F46" i="10"/>
  <c r="F44" i="10"/>
  <c r="F47" i="10" s="1"/>
  <c r="F50" i="10" s="1"/>
  <c r="F41" i="10"/>
  <c r="AA17" i="10"/>
  <c r="AA45" i="10" s="1"/>
  <c r="AB15" i="10"/>
  <c r="AB17" i="10" s="1"/>
  <c r="L23" i="10"/>
  <c r="L27" i="10" s="1"/>
  <c r="G28" i="10"/>
  <c r="F17" i="10"/>
  <c r="G25" i="10"/>
  <c r="T17" i="10"/>
  <c r="T45" i="10" s="1"/>
  <c r="T47" i="10" s="1"/>
  <c r="T50" i="10" s="1"/>
  <c r="H12" i="10"/>
  <c r="J12" i="10"/>
  <c r="X15" i="10"/>
  <c r="X17" i="10" s="1"/>
  <c r="X45" i="10" s="1"/>
  <c r="X47" i="10" s="1"/>
  <c r="X50" i="10" s="1"/>
  <c r="X41" i="10"/>
  <c r="X51" i="10"/>
  <c r="X52" i="10" s="1"/>
  <c r="G11" i="16" s="1"/>
  <c r="X46" i="10"/>
  <c r="X38" i="10"/>
  <c r="G19" i="10"/>
  <c r="G24" i="10" s="1"/>
  <c r="G23" i="10" s="1"/>
  <c r="R13" i="10"/>
  <c r="I17" i="10"/>
  <c r="I44" i="10" s="1"/>
  <c r="T51" i="10"/>
  <c r="T52" i="10" s="1"/>
  <c r="F11" i="16" s="1"/>
  <c r="T46" i="10"/>
  <c r="T38" i="10"/>
  <c r="T41" i="10"/>
  <c r="L31" i="10" l="1"/>
  <c r="L32" i="10" s="1"/>
  <c r="L33" i="10" s="1"/>
  <c r="L26" i="10"/>
  <c r="L30" i="10" s="1"/>
  <c r="C44" i="10"/>
  <c r="U17" i="10"/>
  <c r="H44" i="10"/>
  <c r="K38" i="10" s="1"/>
  <c r="K12" i="10"/>
  <c r="G26" i="10"/>
  <c r="G30" i="10" s="1"/>
  <c r="G31" i="10"/>
  <c r="G32" i="10" s="1"/>
  <c r="G33" i="10" s="1"/>
  <c r="W17" i="10"/>
  <c r="W45" i="10" s="1"/>
  <c r="D17" i="10"/>
  <c r="D44" i="10" s="1"/>
  <c r="U13" i="10"/>
  <c r="O44" i="10"/>
  <c r="P38" i="10" s="1"/>
  <c r="P41" i="10" s="1"/>
  <c r="P46" i="10" s="1"/>
  <c r="P12" i="10"/>
  <c r="P44" i="10" s="1"/>
  <c r="P47" i="10" s="1"/>
  <c r="P50" i="10" s="1"/>
  <c r="P52" i="10" s="1"/>
  <c r="E11" i="16" s="1"/>
  <c r="E17" i="10"/>
  <c r="E44" i="10" s="1"/>
  <c r="E12" i="10"/>
  <c r="V17" i="10"/>
  <c r="V45" i="10" s="1"/>
  <c r="V13" i="10"/>
  <c r="T13" i="10"/>
  <c r="D12" i="10"/>
  <c r="W13" i="10"/>
  <c r="F38" i="10" l="1"/>
  <c r="F12" i="10"/>
  <c r="U45" i="10"/>
  <c r="X13"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<sst xmlns="http://schemas.openxmlformats.org/spreadsheetml/2006/main" count="568" uniqueCount="507">
  <si>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</si>
  <si>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</si>
  <si>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</si>
  <si>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</si>
  <si>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</si>
  <si>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</si>
  <si>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</si>
  <si>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</si>
  <si>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</si>
  <si>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</si>
  <si>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</si>
  <si>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</si>
  <si>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</si>
  <si>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</si>
  <si>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</si>
  <si>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</si>
  <si>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</si>
  <si>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</si>
  <si>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</si>
  <si>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</si>
  <si>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</si>
  <si>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</si>
  <si>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</si>
  <si>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</si>
  <si>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</si>
  <si>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</si>
  <si>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</si>
  <si>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</si>
  <si>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</si>
  <si>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</si>
  <si>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</si>
  <si>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</si>
  <si>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</si>
  <si>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</si>
  <si>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</si>
  <si>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</si>
  <si>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</si>
  <si>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</si>
  <si>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</si>
  <si>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</si>
  <si>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</si>
  <si>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</si>
  <si>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</si>
  <si>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</si>
  <si>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</si>
  <si>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</si>
  <si>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</si>
  <si>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</si>
  <si>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</si>
  <si>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</si>
  <si>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</si>
  <si>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</si>
  <si>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</si>
  <si>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</si>
  <si>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</si>
  <si>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</si>
  <si>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</si>
  <si>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</si>
  <si>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</si>
  <si>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</si>
  <si>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</si>
  <si>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</si>
  <si>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</si>
  <si>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</si>
  <si>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</si>
  <si>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</si>
  <si>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</si>
  <si>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</si>
  <si>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</si>
  <si>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</si>
  <si>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</si>
  <si>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</si>
  <si>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</si>
  <si>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</si>
  <si>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</si>
  <si>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</si>
  <si>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</si>
  <si>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</si>
  <si>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</si>
  <si>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</si>
  <si>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</si>
  <si>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</si>
  <si>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</si>
  <si>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</si>
  <si>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</si>
  <si>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</si>
  <si>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</si>
  <si>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</si>
  <si>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</si>
  <si>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</si>
  <si>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</si>
  <si>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</si>
  <si>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</si>
  <si>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</si>
  <si>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</si>
  <si>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</si>
  <si>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</si>
  <si>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</si>
  <si>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</si>
  <si>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</si>
  <si>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</si>
  <si>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</si>
  <si>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</si>
  <si>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</si>
  <si>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</si>
  <si>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</si>
  <si>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</si>
  <si>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</si>
  <si>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</si>
  <si>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</si>
  <si>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</si>
  <si>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</si>
  <si>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</si>
  <si>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</si>
  <si>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</si>
  <si>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</si>
  <si>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</si>
  <si>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</si>
  <si>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</si>
  <si>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</si>
  <si>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</si>
  <si>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</si>
  <si>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</si>
  <si>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</si>
  <si>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</si>
  <si>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</si>
  <si>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</si>
  <si>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</si>
  <si>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</si>
  <si>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</si>
  <si>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</si>
  <si>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</si>
  <si>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</si>
  <si>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</si>
  <si>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</si>
  <si>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</si>
  <si>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</si>
  <si>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</si>
  <si>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</si>
  <si>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</si>
  <si>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</si>
  <si>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</si>
  <si>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</si>
  <si>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</si>
  <si>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</si>
  <si>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</si>
  <si>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</si>
  <si>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</si>
  <si>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</si>
  <si>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</si>
  <si>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</si>
  <si>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</si>
  <si>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</si>
  <si>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</si>
  <si>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</si>
  <si>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</si>
  <si>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</si>
  <si>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</si>
  <si>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</si>
  <si>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</si>
  <si>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</si>
  <si>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</si>
  <si>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</si>
  <si>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</si>
  <si>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</si>
  <si>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</si>
  <si>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</si>
  <si>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</si>
  <si>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</si>
  <si>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</si>
  <si>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</si>
  <si>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</si>
  <si>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</si>
  <si>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</si>
  <si>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</si>
  <si>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</si>
  <si>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</si>
  <si>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</si>
  <si>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</si>
  <si>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</si>
  <si>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</si>
  <si>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</si>
  <si>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</si>
  <si>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</si>
  <si>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</si>
  <si>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</si>
  <si>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</si>
  <si>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</si>
  <si>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</si>
  <si>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</si>
  <si>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</si>
  <si>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</si>
  <si>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</si>
  <si>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</si>
  <si>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</si>
  <si>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</si>
  <si>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</si>
  <si>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</si>
  <si>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</si>
  <si>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</si>
  <si>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</si>
  <si>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</si>
  <si>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</si>
  <si>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</si>
  <si>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</si>
  <si>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</si>
  <si>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</si>
  <si>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</si>
  <si>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</si>
  <si>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</si>
  <si>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</si>
  <si>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</si>
  <si>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</si>
  <si>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</si>
  <si>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</si>
  <si>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</si>
  <si>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</si>
  <si>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</si>
  <si>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</si>
  <si>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</si>
  <si>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</si>
  <si>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</si>
  <si>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</si>
  <si>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</si>
  <si>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</si>
  <si>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</si>
  <si>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</si>
  <si>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</si>
  <si>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</si>
  <si>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</si>
  <si>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</si>
  <si>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</si>
  <si>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</si>
  <si>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</si>
  <si>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</si>
  <si>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</si>
  <si>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</si>
  <si>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</si>
  <si>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</si>
  <si>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</si>
  <si>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</si>
  <si>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</si>
  <si>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</si>
  <si>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</si>
  <si>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</si>
  <si>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</si>
  <si>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</si>
  <si>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</si>
  <si>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</si>
  <si>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</si>
  <si>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</si>
  <si>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</si>
  <si>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</si>
  <si>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</si>
  <si>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</si>
  <si>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</si>
  <si>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</si>
  <si>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</si>
  <si>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</si>
  <si>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</si>
  <si>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</si>
  <si>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</si>
  <si>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</si>
  <si>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</si>
  <si>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</si>
  <si>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</si>
  <si>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</si>
  <si>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</si>
  <si>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</si>
  <si>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</si>
  <si>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</si>
  <si>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</si>
  <si>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</si>
  <si>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</si>
  <si>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</si>
  <si>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</si>
  <si>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</si>
  <si>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</si>
  <si>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</si>
  <si>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</si>
  <si>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</si>
  <si>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</si>
  <si>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</si>
  <si>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</si>
  <si>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</si>
  <si>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</si>
  <si>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</si>
  <si>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</si>
  <si>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</si>
  <si>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</si>
  <si>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</si>
  <si>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</si>
  <si>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</si>
  <si>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</si>
  <si>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</si>
  <si>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</si>
  <si>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</si>
  <si>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</si>
  <si>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</si>
  <si>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</si>
  <si>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</si>
  <si>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</si>
  <si>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</si>
  <si>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</si>
  <si>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</si>
  <si>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</si>
  <si>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</si>
  <si>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</si>
  <si>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</si>
  <si>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</si>
  <si>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</si>
  <si>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</si>
  <si>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</si>
  <si>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</si>
  <si>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</si>
  <si>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</si>
  <si>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</si>
  <si>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</si>
  <si>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</si>
  <si>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</si>
  <si>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</si>
  <si>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</si>
  <si>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</si>
  <si>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</si>
  <si>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</si>
  <si>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</si>
  <si>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</si>
  <si>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</si>
  <si>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</si>
  <si>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</si>
  <si>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</si>
  <si>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</si>
  <si>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</si>
  <si>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</si>
  <si>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</si>
  <si>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</si>
  <si>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</si>
  <si>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</si>
  <si>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</si>
  <si>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</si>
  <si>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</si>
  <si>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</si>
  <si>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</si>
  <si>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</si>
  <si>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</si>
  <si>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</si>
  <si>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</si>
  <si>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</si>
  <si>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</si>
  <si>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</si>
  <si>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</si>
  <si>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</si>
  <si>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</si>
  <si>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</si>
  <si>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</si>
  <si>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</si>
  <si>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</si>
  <si>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</si>
  <si>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</si>
  <si>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</si>
  <si>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</si>
  <si>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</si>
  <si>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</si>
  <si>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</si>
  <si>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</si>
  <si>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</si>
  <si>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</si>
  <si>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</si>
  <si>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</si>
  <si>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</si>
  <si>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</si>
  <si>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</si>
  <si>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</si>
  <si>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</si>
  <si>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</si>
  <si>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</si>
  <si>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</si>
  <si>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</si>
  <si>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</si>
  <si>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</si>
  <si>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</si>
  <si>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</si>
  <si>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</si>
  <si>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</si>
  <si>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</si>
  <si>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</si>
  <si>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</si>
  <si>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</si>
  <si>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</si>
  <si>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</si>
  <si>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</si>
  <si>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</si>
  <si>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</si>
  <si>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</si>
  <si>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</si>
  <si>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</si>
  <si>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</si>
  <si>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</si>
  <si>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</si>
  <si>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</si>
  <si>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</si>
  <si>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</si>
  <si>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</si>
  <si>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</si>
  <si>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</si>
  <si>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</si>
  <si>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</si>
  <si>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</si>
  <si>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</si>
  <si>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</si>
  <si>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</si>
  <si>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</si>
  <si>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</si>
  <si>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</si>
  <si>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</si>
  <si>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</si>
  <si>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</si>
  <si>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</si>
  <si>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</si>
  <si>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</si>
  <si>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</si>
  <si>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</si>
  <si>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</si>
  <si>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</si>
  <si>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</si>
  <si>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</si>
  <si>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</si>
  <si>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</si>
  <si>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</si>
  <si>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</si>
  <si>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</si>
  <si>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</si>
  <si>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</si>
  <si>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</si>
  <si>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</si>
  <si>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</si>
  <si>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</si>
  <si>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</si>
  <si>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</si>
  <si>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</si>
  <si>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</si>
  <si>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</si>
  <si>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</si>
  <si>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</si>
  <si>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</si>
  <si>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</si>
  <si>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</si>
  <si>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</si>
  <si>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</si>
  <si>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</si>
  <si>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</si>
  <si>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</si>
  <si>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</si>
  <si>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</si>
  <si>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</si>
  <si>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</si>
  <si>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</si>
  <si>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</si>
  <si>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</si>
  <si>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</si>
  <si>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</si>
  <si>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</si>
  <si>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</si>
  <si>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</si>
  <si>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</si>
  <si>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</si>
  <si>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</si>
  <si>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</si>
  <si>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</si>
  <si>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</si>
  <si>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</si>
  <si>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</si>
  <si>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</si>
  <si>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</si>
  <si>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</si>
  <si>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</si>
  <si>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</si>
  <si>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</si>
  <si>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</si>
  <si>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</si>
  <si>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</si>
  <si>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</si>
  <si>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</si>
  <si>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</si>
  <si>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</si>
  <si>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</si>
  <si>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</si>
  <si>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</si>
  <si>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</si>
  <si>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</si>
  <si>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</si>
  <si>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</si>
  <si>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</si>
  <si>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</si>
  <si>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North Carolina, Inc.</t>
  </si>
  <si>
    <t>Cigna Hlth Grp</t>
  </si>
  <si>
    <t>N/A</t>
  </si>
  <si>
    <t>00901</t>
  </si>
  <si>
    <t>2014</t>
  </si>
  <si>
    <t>701 Corporate Center Drive Raleigh, NC 27607</t>
  </si>
  <si>
    <t>561479515</t>
  </si>
  <si>
    <t>008570</t>
  </si>
  <si>
    <t>95132</t>
  </si>
  <si>
    <t>73943</t>
  </si>
  <si>
    <t>106</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</si>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</sst>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168</v>
      </c>
    </row>
    <row r="13" spans="1:6" x14ac:dyDescent="0.2">
      <c r="B13" s="238" t="s">
        <v>50</v>
      </c>
      <c r="C13" s="384" t="s">
        <v>168</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3924</v>
      </c>
      <c r="E5" s="112">
        <f>'Pt 2 Premium and Claims'!E5+'Pt 2 Premium and Claims'!E6-'Pt 2 Premium and Claims'!E7-'Pt 2 Premium and Claims'!E13+'Pt 2 Premium and Claims'!E14+'Pt 2 Premium and Claims'!E15+'Pt 2 Premium and Claims'!E16+'Pt 2 Premium and Claims'!E17</f>
        <v>3924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13100886</v>
      </c>
      <c r="Q5" s="112">
        <f>'Pt 2 Premium and Claims'!Q5+'Pt 2 Premium and Claims'!Q6-'Pt 2 Premium and Claims'!Q7-'Pt 2 Premium and Claims'!Q13+'Pt 2 Premium and Claims'!Q14</f>
        <v>13114245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10635653</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-3478</v>
      </c>
      <c r="Q7" s="116">
        <f>P7</f>
        <v>-3478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-190135</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-551</v>
      </c>
      <c r="E12" s="112">
        <f>'Pt 2 Premium and Claims'!E54</f>
        <v>1964</v>
      </c>
      <c r="F12" s="112"/>
      <c r="G12" s="112"/>
      <c r="H12" s="112"/>
      <c r="I12" s="111">
        <f>'Pt 2 Premium and Claims'!I54</f>
        <v>0</v>
      </c>
      <c r="J12" s="111">
        <f>'Pt 2 Premium and Claims'!J54</f>
        <v>-906</v>
      </c>
      <c r="K12" s="112">
        <f>'Pt 2 Premium and Claims'!K54</f>
        <v>-5</v>
      </c>
      <c r="L12" s="112"/>
      <c r="M12" s="112"/>
      <c r="N12" s="112"/>
      <c r="O12" s="111">
        <f>'Pt 2 Premium and Claims'!O54</f>
        <v>0</v>
      </c>
      <c r="P12" s="111">
        <f>'Pt 2 Premium and Claims'!P54</f>
        <v>9774083</v>
      </c>
      <c r="Q12" s="112">
        <f>'Pt 2 Premium and Claims'!Q54</f>
        <v>9682781</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8809936</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1685845</v>
      </c>
      <c r="Q13" s="116">
        <v>1697411</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1420358</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-7898</v>
      </c>
      <c r="Q14" s="116">
        <v>-7781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380780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39</v>
      </c>
      <c r="Q15" s="116">
        <v>39</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-344882</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4968790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570285</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575702</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569468</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1636</v>
      </c>
      <c r="E25" s="116">
        <f>D25</f>
        <v>1636</v>
      </c>
      <c r="F25" s="116"/>
      <c r="G25" s="116"/>
      <c r="H25" s="116"/>
      <c r="I25" s="115">
        <v>0</v>
      </c>
      <c r="J25" s="115">
        <v>355</v>
      </c>
      <c r="K25" s="116">
        <f>J25</f>
        <v>355</v>
      </c>
      <c r="L25" s="116"/>
      <c r="M25" s="116"/>
      <c r="N25" s="116"/>
      <c r="O25" s="115">
        <v>0</v>
      </c>
      <c r="P25" s="115">
        <v>500691</v>
      </c>
      <c r="Q25" s="116">
        <f>P25</f>
        <v>500691</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219756</v>
      </c>
      <c r="AT25" s="119">
        <v>60709</v>
      </c>
      <c r="AU25" s="119">
        <v>0</v>
      </c>
      <c r="AV25" s="119">
        <v>0</v>
      </c>
      <c r="AW25" s="324"/>
    </row>
    <row r="26" spans="1:49" s="11" customFormat="1" x14ac:dyDescent="0.2">
      <c r="A26" s="41"/>
      <c r="B26" s="164" t="s">
        <v>243</v>
      </c>
      <c r="C26" s="68"/>
      <c r="D26" s="115">
        <v>1</v>
      </c>
      <c r="E26" s="116">
        <f>D26</f>
        <v>1</v>
      </c>
      <c r="F26" s="116"/>
      <c r="G26" s="116"/>
      <c r="H26" s="116"/>
      <c r="I26" s="115">
        <v>0</v>
      </c>
      <c r="J26" s="115">
        <v>0</v>
      </c>
      <c r="K26" s="116">
        <f>J26</f>
        <v>0</v>
      </c>
      <c r="L26" s="116"/>
      <c r="M26" s="116"/>
      <c r="N26" s="116"/>
      <c r="O26" s="115">
        <v>0</v>
      </c>
      <c r="P26" s="115">
        <v>4042</v>
      </c>
      <c r="Q26" s="116">
        <f>P26</f>
        <v>4042</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21</v>
      </c>
      <c r="E27" s="116">
        <f>D27</f>
        <v>21</v>
      </c>
      <c r="F27" s="116"/>
      <c r="G27" s="116"/>
      <c r="H27" s="116"/>
      <c r="I27" s="115">
        <v>0</v>
      </c>
      <c r="J27" s="115">
        <v>0</v>
      </c>
      <c r="K27" s="116">
        <f>J27</f>
        <v>0</v>
      </c>
      <c r="L27" s="116"/>
      <c r="M27" s="116"/>
      <c r="N27" s="116"/>
      <c r="O27" s="115">
        <v>0</v>
      </c>
      <c r="P27" s="115">
        <v>166637</v>
      </c>
      <c r="Q27" s="116">
        <f>P27</f>
        <v>166637</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3</v>
      </c>
      <c r="E28" s="116">
        <f>D28</f>
        <v>3</v>
      </c>
      <c r="F28" s="116"/>
      <c r="G28" s="116"/>
      <c r="H28" s="116"/>
      <c r="I28" s="115">
        <v>0</v>
      </c>
      <c r="J28" s="115">
        <v>0</v>
      </c>
      <c r="K28" s="116">
        <f>J28</f>
        <v>0</v>
      </c>
      <c r="L28" s="116"/>
      <c r="M28" s="116"/>
      <c r="N28" s="116"/>
      <c r="O28" s="115">
        <v>0</v>
      </c>
      <c r="P28" s="115">
        <v>27871</v>
      </c>
      <c r="Q28" s="116">
        <f>P28</f>
        <v>27871</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v>
      </c>
      <c r="E30" s="116">
        <f>D30</f>
        <v>2</v>
      </c>
      <c r="F30" s="116"/>
      <c r="G30" s="116"/>
      <c r="H30" s="116"/>
      <c r="I30" s="115">
        <v>0</v>
      </c>
      <c r="J30" s="115">
        <v>0</v>
      </c>
      <c r="K30" s="116">
        <f>J30</f>
        <v>0</v>
      </c>
      <c r="L30" s="116"/>
      <c r="M30" s="116"/>
      <c r="N30" s="116"/>
      <c r="O30" s="115">
        <v>0</v>
      </c>
      <c r="P30" s="115">
        <v>6036</v>
      </c>
      <c r="Q30" s="116">
        <f>P30</f>
        <v>6036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44720</v>
      </c>
      <c r="AT30" s="119">
        <v>0</v>
      </c>
      <c r="AU30" s="119">
        <v>0</v>
      </c>
      <c r="AV30" s="119">
        <v>0</v>
      </c>
      <c r="AW30" s="324"/>
    </row>
    <row r="31" spans="1:49" x14ac:dyDescent="0.2">
      <c r="B31" s="164" t="s">
        <v>248</v>
      </c>
      <c r="C31" s="68"/>
      <c r="D31" s="115">
        <v>78</v>
      </c>
      <c r="E31" s="116">
        <f>D31</f>
        <v>78</v>
      </c>
      <c r="F31" s="116"/>
      <c r="G31" s="116"/>
      <c r="H31" s="116"/>
      <c r="I31" s="115">
        <v>0</v>
      </c>
      <c r="J31" s="115">
        <v>0</v>
      </c>
      <c r="K31" s="116">
        <f>J31</f>
        <v>0</v>
      </c>
      <c r="L31" s="116"/>
      <c r="M31" s="116"/>
      <c r="N31" s="116"/>
      <c r="O31" s="115">
        <v>0</v>
      </c>
      <c r="P31" s="115">
        <v>262015</v>
      </c>
      <c r="Q31" s="116">
        <f>P31</f>
        <v>262015</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21</v>
      </c>
      <c r="E34" s="116">
        <f>D34</f>
        <v>21</v>
      </c>
      <c r="F34" s="116"/>
      <c r="G34" s="116"/>
      <c r="H34" s="116"/>
      <c r="I34" s="115">
        <v>0</v>
      </c>
      <c r="J34" s="115">
        <v>0</v>
      </c>
      <c r="K34" s="116">
        <f>J34</f>
        <v>0</v>
      </c>
      <c r="L34" s="116"/>
      <c r="M34" s="116"/>
      <c r="N34" s="116"/>
      <c r="O34" s="115">
        <v>0</v>
      </c>
      <c r="P34" s="115">
        <v>126189</v>
      </c>
      <c r="Q34" s="116">
        <f>P34</f>
        <v>126189</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1669</v>
      </c>
      <c r="Q35" s="116">
        <f>P35</f>
        <v>1669</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738</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v>
      </c>
      <c r="E37" s="124">
        <v>3</v>
      </c>
      <c r="F37" s="124"/>
      <c r="G37" s="124"/>
      <c r="H37" s="124"/>
      <c r="I37" s="123">
        <v>0</v>
      </c>
      <c r="J37" s="123">
        <v>0</v>
      </c>
      <c r="K37" s="124">
        <v>0</v>
      </c>
      <c r="L37" s="124"/>
      <c r="M37" s="124"/>
      <c r="N37" s="124"/>
      <c r="O37" s="123">
        <v>0</v>
      </c>
      <c r="P37" s="123">
        <v>21001</v>
      </c>
      <c r="Q37" s="124">
        <v>21015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22360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3691</v>
      </c>
      <c r="Q38" s="116">
        <v>3703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18633</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7480</v>
      </c>
      <c r="Q39" s="116">
        <v>7771</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11180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3717</v>
      </c>
      <c r="Q40" s="116">
        <v>3717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7453</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3494</v>
      </c>
      <c r="Q41" s="116">
        <v>3494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14907</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501</v>
      </c>
      <c r="Q42" s="116">
        <f>P42</f>
        <v>501</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27</v>
      </c>
      <c r="E44" s="124">
        <v>27</v>
      </c>
      <c r="F44" s="124"/>
      <c r="G44" s="124"/>
      <c r="H44" s="124"/>
      <c r="I44" s="123">
        <v>0</v>
      </c>
      <c r="J44" s="123">
        <v>0</v>
      </c>
      <c r="K44" s="124">
        <v>0</v>
      </c>
      <c r="L44" s="124"/>
      <c r="M44" s="124"/>
      <c r="N44" s="124"/>
      <c r="O44" s="123">
        <v>0</v>
      </c>
      <c r="P44" s="123">
        <v>220475</v>
      </c>
      <c r="Q44" s="124">
        <v>222754</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5237</v>
      </c>
      <c r="AT44" s="125">
        <v>0</v>
      </c>
      <c r="AU44" s="125">
        <v>0</v>
      </c>
      <c r="AV44" s="125">
        <v>0</v>
      </c>
      <c r="AW44" s="323"/>
    </row>
    <row r="45" spans="1:49" x14ac:dyDescent="0.2">
      <c r="B45" s="167" t="s">
        <v>262</v>
      </c>
      <c r="C45" s="68" t="s">
        <v>19</v>
      </c>
      <c r="D45" s="115">
        <v>9</v>
      </c>
      <c r="E45" s="116">
        <f>D45</f>
        <v>9</v>
      </c>
      <c r="F45" s="116"/>
      <c r="G45" s="116"/>
      <c r="H45" s="116"/>
      <c r="I45" s="115">
        <v>0</v>
      </c>
      <c r="J45" s="115">
        <v>0</v>
      </c>
      <c r="K45" s="116">
        <f>J45</f>
        <v>0</v>
      </c>
      <c r="L45" s="116"/>
      <c r="M45" s="116"/>
      <c r="N45" s="116"/>
      <c r="O45" s="115">
        <v>0</v>
      </c>
      <c r="P45" s="115">
        <v>76459</v>
      </c>
      <c r="Q45" s="116">
        <f>P45</f>
        <v>76459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319078</v>
      </c>
      <c r="AT45" s="119">
        <v>0</v>
      </c>
      <c r="AU45" s="119">
        <v>0</v>
      </c>
      <c r="AV45" s="119">
        <v>0</v>
      </c>
      <c r="AW45" s="324"/>
    </row>
    <row r="46" spans="1:49" x14ac:dyDescent="0.2">
      <c r="B46" s="167" t="s">
        <v>263</v>
      </c>
      <c r="C46" s="68" t="s">
        <v>20</v>
      </c>
      <c r="D46" s="115">
        <v>2</v>
      </c>
      <c r="E46" s="116">
        <f>D46</f>
        <v>2</v>
      </c>
      <c r="F46" s="116"/>
      <c r="G46" s="116"/>
      <c r="H46" s="116"/>
      <c r="I46" s="115">
        <v>0</v>
      </c>
      <c r="J46" s="115">
        <v>0</v>
      </c>
      <c r="K46" s="116">
        <f>J46</f>
        <v>0</v>
      </c>
      <c r="L46" s="116"/>
      <c r="M46" s="116"/>
      <c r="N46" s="116"/>
      <c r="O46" s="115">
        <v>0</v>
      </c>
      <c r="P46" s="115">
        <v>14077</v>
      </c>
      <c r="Q46" s="116">
        <f>P46</f>
        <v>14077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16004</v>
      </c>
      <c r="Q47" s="116">
        <f>P47</f>
        <v>16004</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13</v>
      </c>
      <c r="E49" s="116">
        <f>D49</f>
        <v>13</v>
      </c>
      <c r="F49" s="116"/>
      <c r="G49" s="116"/>
      <c r="H49" s="116"/>
      <c r="I49" s="115">
        <v>0</v>
      </c>
      <c r="J49" s="115">
        <v>0</v>
      </c>
      <c r="K49" s="116">
        <f>J49</f>
        <v>0</v>
      </c>
      <c r="L49" s="116"/>
      <c r="M49" s="116"/>
      <c r="N49" s="116"/>
      <c r="O49" s="115">
        <v>0</v>
      </c>
      <c r="P49" s="115">
        <v>100212</v>
      </c>
      <c r="Q49" s="116">
        <f>P49</f>
        <v>100212</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1644</v>
      </c>
      <c r="Q50" s="116">
        <f>P50</f>
        <v>1644</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144</v>
      </c>
      <c r="E51" s="116">
        <f>D51</f>
        <v>144</v>
      </c>
      <c r="F51" s="116"/>
      <c r="G51" s="116"/>
      <c r="H51" s="116"/>
      <c r="I51" s="115">
        <v>0</v>
      </c>
      <c r="J51" s="115">
        <v>0</v>
      </c>
      <c r="K51" s="116">
        <f>J51</f>
        <v>0</v>
      </c>
      <c r="L51" s="116"/>
      <c r="M51" s="116"/>
      <c r="N51" s="116"/>
      <c r="O51" s="115">
        <v>0</v>
      </c>
      <c r="P51" s="115">
        <v>1150490</v>
      </c>
      <c r="Q51" s="116">
        <f>P51</f>
        <v>1150490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1188750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501</v>
      </c>
      <c r="Q53" s="116">
        <f>P53</f>
        <v>501</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861</v>
      </c>
      <c r="Q56" s="128">
        <f>P56</f>
        <v>861</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1341</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2010</v>
      </c>
      <c r="Q57" s="131">
        <f>P57</f>
        <v>2010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1341</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18</v>
      </c>
      <c r="Q58" s="131">
        <f>P58</f>
        <v>18</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1341</v>
      </c>
      <c r="AT58" s="132">
        <v>0</v>
      </c>
      <c r="AU58" s="132">
        <v>0</v>
      </c>
      <c r="AV58" s="132">
        <v>0</v>
      </c>
      <c r="AW58" s="316"/>
    </row>
    <row r="59" spans="2:49" x14ac:dyDescent="0.2">
      <c r="B59" s="167" t="s">
        <v>275</v>
      </c>
      <c r="C59" s="68" t="s">
        <v>27</v>
      </c>
      <c r="D59" s="130">
        <v>3</v>
      </c>
      <c r="E59" s="131">
        <v>3</v>
      </c>
      <c r="F59" s="131"/>
      <c r="G59" s="131"/>
      <c r="H59" s="131"/>
      <c r="I59" s="130">
        <v>0</v>
      </c>
      <c r="J59" s="130">
        <v>0</v>
      </c>
      <c r="K59" s="131">
        <v>0</v>
      </c>
      <c r="L59" s="131"/>
      <c r="M59" s="131"/>
      <c r="N59" s="131"/>
      <c r="O59" s="130">
        <v>0</v>
      </c>
      <c r="P59" s="130">
        <v>24004</v>
      </c>
      <c r="Q59" s="131">
        <v>24004</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14131</v>
      </c>
      <c r="AT59" s="132">
        <v>0</v>
      </c>
      <c r="AU59" s="132">
        <v>0</v>
      </c>
      <c r="AV59" s="132">
        <v>0</v>
      </c>
      <c r="AW59" s="316"/>
    </row>
    <row r="60" spans="2:49" x14ac:dyDescent="0.2">
      <c r="B60" s="167" t="s">
        <v>276</v>
      </c>
      <c r="C60" s="68"/>
      <c r="D60" s="133">
        <f>D59/12</f>
        <v>0.25</v>
      </c>
      <c r="E60" s="134">
        <f>E59/12</f>
        <v>0.25</v>
      </c>
      <c r="F60" s="134"/>
      <c r="G60" s="134"/>
      <c r="H60" s="134"/>
      <c r="I60" s="133">
        <f>I59/12</f>
        <v>0</v>
      </c>
      <c r="J60" s="133">
        <f>J59/12</f>
        <v>0</v>
      </c>
      <c r="K60" s="134">
        <f>K59/12</f>
        <v>0</v>
      </c>
      <c r="L60" s="134"/>
      <c r="M60" s="134"/>
      <c r="N60" s="134"/>
      <c r="O60" s="133">
        <f>O59/12</f>
        <v>0</v>
      </c>
      <c r="P60" s="133">
        <f>P59/12</f>
        <v>2000.3333333333333</v>
      </c>
      <c r="Q60" s="134">
        <f>Q59/12</f>
        <v>2000.3333333333333</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1177.5833333333333</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237214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-127876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3924</v>
      </c>
      <c r="E5" s="124">
        <v>3924</v>
      </c>
      <c r="F5" s="124"/>
      <c r="G5" s="136"/>
      <c r="H5" s="136"/>
      <c r="I5" s="123">
        <v>0</v>
      </c>
      <c r="J5" s="123">
        <v>0</v>
      </c>
      <c r="K5" s="124">
        <v>0</v>
      </c>
      <c r="L5" s="124"/>
      <c r="M5" s="124"/>
      <c r="N5" s="124"/>
      <c r="O5" s="123">
        <v>0</v>
      </c>
      <c r="P5" s="123">
        <v>13099337</v>
      </c>
      <c r="Q5" s="124">
        <v>13112696</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10635653</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-1549</v>
      </c>
      <c r="Q13" s="116">
        <v>-1549</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1965</v>
      </c>
      <c r="E23" s="294"/>
      <c r="F23" s="294"/>
      <c r="G23" s="294"/>
      <c r="H23" s="294"/>
      <c r="I23" s="298"/>
      <c r="J23" s="115">
        <v>-685</v>
      </c>
      <c r="K23" s="294"/>
      <c r="L23" s="294"/>
      <c r="M23" s="294"/>
      <c r="N23" s="294"/>
      <c r="O23" s="298"/>
      <c r="P23" s="115">
        <v>9678132</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7755544</v>
      </c>
      <c r="AT23" s="119">
        <v>0</v>
      </c>
      <c r="AU23" s="119">
        <v>0</v>
      </c>
      <c r="AV23" s="317"/>
      <c r="AW23" s="324"/>
    </row>
    <row r="24" spans="2:49" ht="28.5" customHeight="1" x14ac:dyDescent="0.2">
      <c r="B24" s="184" t="s">
        <v>114</v>
      </c>
      <c r="C24" s="139"/>
      <c r="D24" s="299"/>
      <c r="E24" s="116">
        <v>1965</v>
      </c>
      <c r="F24" s="116"/>
      <c r="G24" s="116"/>
      <c r="H24" s="116"/>
      <c r="I24" s="115">
        <v>0</v>
      </c>
      <c r="J24" s="299"/>
      <c r="K24" s="116">
        <v>0</v>
      </c>
      <c r="L24" s="116"/>
      <c r="M24" s="116"/>
      <c r="N24" s="116"/>
      <c r="O24" s="115">
        <v>0</v>
      </c>
      <c r="P24" s="299"/>
      <c r="Q24" s="116">
        <v>9569035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291</v>
      </c>
      <c r="E26" s="294"/>
      <c r="F26" s="294"/>
      <c r="G26" s="294"/>
      <c r="H26" s="294"/>
      <c r="I26" s="298"/>
      <c r="J26" s="115">
        <v>0</v>
      </c>
      <c r="K26" s="294"/>
      <c r="L26" s="294"/>
      <c r="M26" s="294"/>
      <c r="N26" s="294"/>
      <c r="O26" s="298"/>
      <c r="P26" s="115">
        <v>973704</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1107075</v>
      </c>
      <c r="AT26" s="119">
        <v>0</v>
      </c>
      <c r="AU26" s="119">
        <v>0</v>
      </c>
      <c r="AV26" s="317"/>
      <c r="AW26" s="324"/>
    </row>
    <row r="27" spans="2:49" s="11" customFormat="1" ht="25.5" x14ac:dyDescent="0.2">
      <c r="B27" s="184" t="s">
        <v>85</v>
      </c>
      <c r="C27" s="139"/>
      <c r="D27" s="299"/>
      <c r="E27" s="116">
        <v>32</v>
      </c>
      <c r="F27" s="116"/>
      <c r="G27" s="116"/>
      <c r="H27" s="116"/>
      <c r="I27" s="115">
        <v>0</v>
      </c>
      <c r="J27" s="299"/>
      <c r="K27" s="116">
        <v>0</v>
      </c>
      <c r="L27" s="116"/>
      <c r="M27" s="116"/>
      <c r="N27" s="116"/>
      <c r="O27" s="115">
        <v>0</v>
      </c>
      <c r="P27" s="299"/>
      <c r="Q27" s="116">
        <v>108403</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2774</v>
      </c>
      <c r="E28" s="295"/>
      <c r="F28" s="295"/>
      <c r="G28" s="295"/>
      <c r="H28" s="295"/>
      <c r="I28" s="299"/>
      <c r="J28" s="115">
        <v>216</v>
      </c>
      <c r="K28" s="295"/>
      <c r="L28" s="295"/>
      <c r="M28" s="295"/>
      <c r="N28" s="295"/>
      <c r="O28" s="299"/>
      <c r="P28" s="115">
        <v>883127</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v>
      </c>
      <c r="E34" s="294"/>
      <c r="F34" s="294"/>
      <c r="G34" s="294"/>
      <c r="H34" s="294"/>
      <c r="I34" s="298"/>
      <c r="J34" s="115">
        <v>0</v>
      </c>
      <c r="K34" s="294"/>
      <c r="L34" s="294"/>
      <c r="M34" s="294"/>
      <c r="N34" s="294"/>
      <c r="O34" s="298"/>
      <c r="P34" s="115">
        <v>8257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v>
      </c>
      <c r="F35" s="116"/>
      <c r="G35" s="116"/>
      <c r="H35" s="116"/>
      <c r="I35" s="115">
        <v>0</v>
      </c>
      <c r="J35" s="299"/>
      <c r="K35" s="116">
        <f>J34</f>
        <v>0</v>
      </c>
      <c r="L35" s="116"/>
      <c r="M35" s="116"/>
      <c r="N35" s="116"/>
      <c r="O35" s="115">
        <v>0</v>
      </c>
      <c r="P35" s="299"/>
      <c r="Q35" s="116">
        <f>P34</f>
        <v>8257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36</v>
      </c>
      <c r="E36" s="116">
        <f>D36</f>
        <v>36</v>
      </c>
      <c r="F36" s="116"/>
      <c r="G36" s="116"/>
      <c r="H36" s="116"/>
      <c r="I36" s="115">
        <v>0</v>
      </c>
      <c r="J36" s="115">
        <v>5</v>
      </c>
      <c r="K36" s="116">
        <f>J36</f>
        <v>5</v>
      </c>
      <c r="L36" s="116"/>
      <c r="M36" s="116"/>
      <c r="N36" s="116"/>
      <c r="O36" s="115">
        <v>0</v>
      </c>
      <c r="P36" s="115">
        <v>7269</v>
      </c>
      <c r="Q36" s="116">
        <f>P36</f>
        <v>7269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4386</v>
      </c>
      <c r="Q45" s="116">
        <v>4355</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128513</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181196</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-551</v>
      </c>
      <c r="E54" s="121">
        <f>E24+E27+E31+E35-E36+E39+E42+E45+E46-E49+E51+E52+E53</f>
        <v>1964</v>
      </c>
      <c r="F54" s="121"/>
      <c r="G54" s="121"/>
      <c r="H54" s="121"/>
      <c r="I54" s="120">
        <f>I24+I27+I31+I35-I36+I39+I42+I45+I46-I49+I51+I52+I53</f>
        <v>0</v>
      </c>
      <c r="J54" s="120">
        <f>J23+J26-J28+J30-J32+J34-J36+J38+J41-J43+J45+J46-J47-J49+J50+J51+J52+J53</f>
        <v>-906</v>
      </c>
      <c r="K54" s="121">
        <f>K24+K27+K31+K35-K36+K39+K42+K45+K46-K49+K51+K52+K53</f>
        <v>-5</v>
      </c>
      <c r="L54" s="121"/>
      <c r="M54" s="121"/>
      <c r="N54" s="121"/>
      <c r="O54" s="120">
        <f>O24+O27+O31+O35-O36+O39+O42+O45+O46-O49+O51+O52+O53</f>
        <v>0</v>
      </c>
      <c r="P54" s="120">
        <f>P23+P26-P28+P30-P32+P34-P36+P38+P41-P43+P45+P46-P47-P49+P50+P51+P52+P53</f>
        <v>9774083</v>
      </c>
      <c r="Q54" s="121">
        <f>Q24+Q27+Q31+Q35-Q36+Q39+Q42+Q45+Q46-Q49+Q51+Q52+Q53</f>
        <v>9682781</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8809936</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20266.55</v>
      </c>
      <c r="D5" s="124">
        <v>2555</v>
      </c>
      <c r="E5" s="352"/>
      <c r="F5" s="352"/>
      <c r="G5" s="318"/>
      <c r="H5" s="123">
        <v>2989.78</v>
      </c>
      <c r="I5" s="124">
        <v>0</v>
      </c>
      <c r="J5" s="352"/>
      <c r="K5" s="352"/>
      <c r="L5" s="318"/>
      <c r="M5" s="123">
        <v>22309135.469999999</v>
      </c>
      <c r="N5" s="124">
        <v>12116942</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18502</v>
      </c>
      <c r="D6" s="116">
        <v>1592</v>
      </c>
      <c r="E6" s="121">
        <f>SUM('Pt 1 Summary of Data'!E$12,'Pt 1 Summary of Data'!E$22)+SUM('Pt 1 Summary of Data'!G$12,'Pt 1 Summary of Data'!G$22)-SUM('Pt 1 Summary of Data'!H$12,'Pt 1 Summary of Data'!H$22)</f>
        <v>1964</v>
      </c>
      <c r="F6" s="121">
        <f>SUM(C6:E6)</f>
        <v>22058</v>
      </c>
      <c r="G6" s="122">
        <f>'Pt 1 Summary of Data'!I12+'Pt 1 Summary of Data'!I22</f>
        <v>0</v>
      </c>
      <c r="H6" s="115">
        <v>2808</v>
      </c>
      <c r="I6" s="116">
        <v>0</v>
      </c>
      <c r="J6" s="121">
        <f>'Pt 1 Summary of Data'!K12+'Pt 1 Summary of Data'!K22</f>
        <v>-5</v>
      </c>
      <c r="K6" s="121">
        <f>SUM(H6:J6)</f>
        <v>2803</v>
      </c>
      <c r="L6" s="122">
        <f>'Pt 1 Summary of Data'!O12+'Pt 1 Summary of Data'!O22</f>
        <v>0</v>
      </c>
      <c r="M6" s="115">
        <v>22484422</v>
      </c>
      <c r="N6" s="116">
        <v>12055656</v>
      </c>
      <c r="O6" s="121">
        <f>'Pt 1 Summary of Data'!Q12+'Pt 1 Summary of Data'!Q22</f>
        <v>9682781</v>
      </c>
      <c r="P6" s="121">
        <f>SUM(M6:O6)</f>
        <v>44222859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108</v>
      </c>
      <c r="D7" s="116">
        <v>11</v>
      </c>
      <c r="E7" s="121">
        <f>SUM('Pt 1 Summary of Data'!E37:E41)+MAX(0,MIN('Pt 1 Summary of Data'!E42,0.3%*('Pt 1 Summary of Data'!E5-SUM(E9:E11))))</f>
        <v>3</v>
      </c>
      <c r="F7" s="121">
        <f>SUM(C7:E7)</f>
        <v>122</v>
      </c>
      <c r="G7" s="122">
        <f>SUM('Pt 1 Summary of Data'!I37:I41)+MAX(0,MIN('Pt 1 Summary of Data'!I42,0.3%*('Pt 1 Summary of Data'!I5-SUM(G9:G10))))</f>
        <v>0</v>
      </c>
      <c r="H7" s="115">
        <v>9</v>
      </c>
      <c r="I7" s="116">
        <v>0</v>
      </c>
      <c r="J7" s="121">
        <f>SUM('Pt 1 Summary of Data'!K37:K41)+MAX(0,MIN('Pt 1 Summary of Data'!K42,0.3%*('Pt 1 Summary of Data'!K5-SUM(J10:J11))))</f>
        <v>0</v>
      </c>
      <c r="K7" s="121">
        <f>SUM(H7:J7)</f>
        <v>9</v>
      </c>
      <c r="L7" s="122">
        <f>SUM('Pt 1 Summary of Data'!O37:O41)+MAX(0,MIN('Pt 1 Summary of Data'!O42,0.3%*('Pt 1 Summary of Data'!O5-L10)))</f>
        <v>0</v>
      </c>
      <c r="M7" s="115">
        <v>134399</v>
      </c>
      <c r="N7" s="116">
        <v>20016</v>
      </c>
      <c r="O7" s="121">
        <f>SUM('Pt 1 Summary of Data'!Q37:Q41)+MAX(0,MIN('Pt 1 Summary of Data'!Q42,0.3%*('Pt 1 Summary of Data'!Q5)))</f>
        <v>40201</v>
      </c>
      <c r="P7" s="121">
        <f>SUM(M7:O7)</f>
        <v>194616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18610</v>
      </c>
      <c r="D12" s="121">
        <f>SUM(D$6:D$7)+IF(AND(OR('Company Information'!$C$12="District of Columbia",'Company Information'!$C$12="Massachusetts",'Company Information'!$C$12="Vermont"),SUM($C$6:$F$11,$C$15:$F$16,$C$37:$D$37)&lt;&gt;0),SUM(I$6:I$7),0)</f>
        <v>1603</v>
      </c>
      <c r="E12" s="121">
        <f>SUM(E$6:E$7)-SUM(E$8:E$11)+IF(AND(OR('Company Information'!$C$12="District of Columbia",'Company Information'!$C$12="Massachusetts",'Company Information'!$C$12="Vermont"),SUM($C$6:$F$11,$C$15:$F$16,$C$37:$D$37)&lt;&gt;0),SUM(J$6:J$7)-SUM(J$10:J$11),0)</f>
        <v>1967</v>
      </c>
      <c r="F12" s="121">
        <f>IFERROR(SUM(C$12:E$12)+C$17*MAX(0,E$49-C$49)+D$17*MAX(0,E$49-D$49),0)</f>
        <v>22180</v>
      </c>
      <c r="G12" s="317"/>
      <c r="H12" s="120">
        <f>SUM(H$6:H$7)+IF(AND(OR('Company Information'!$C$12="District of Columbia",'Company Information'!$C$12="Massachusetts",'Company Information'!$C$12="Vermont"),SUM($H$6:$K$11,$H$15:$K$16,$H$37:$I$37)&lt;&gt;0),SUM(C$6:C$7),0)</f>
        <v>2817</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-5</v>
      </c>
      <c r="K12" s="121">
        <f>IFERROR(SUM(H$12:J$12)+H$17*MAX(0,J$49-H$49)+I$17*MAX(0,J$49-I$49),0)</f>
        <v>2812</v>
      </c>
      <c r="L12" s="317"/>
      <c r="M12" s="120">
        <f>SUM(M$6:M$7)</f>
        <v>22618821</v>
      </c>
      <c r="N12" s="121">
        <f>SUM(N$6:N$7)</f>
        <v>12075672</v>
      </c>
      <c r="O12" s="121">
        <f>SUM(O$6:O$7)</f>
        <v>9722982</v>
      </c>
      <c r="P12" s="121">
        <f>SUM(M$12:O$12)+M$17*MAX(0,O$49-M$49)+N$17*MAX(0,O$49-N$49)</f>
        <v>44417475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80628</v>
      </c>
      <c r="D15" s="124">
        <v>39233</v>
      </c>
      <c r="E15" s="112">
        <f>SUM('Pt 1 Summary of Data'!E$5:E$7)+SUM('Pt 1 Summary of Data'!G$5:G$7)-SUM('Pt 1 Summary of Data'!H$5:H$7)-SUM(E$9:E$11)+D$55</f>
        <v>3923</v>
      </c>
      <c r="F15" s="112">
        <f>SUM(C15:E15)</f>
        <v>123784</v>
      </c>
      <c r="G15" s="113">
        <f>SUM('Pt 1 Summary of Data'!I$5:I$7)-SUM(G$9:G$10)</f>
        <v>0</v>
      </c>
      <c r="H15" s="123">
        <v>3395</v>
      </c>
      <c r="I15" s="124">
        <v>0</v>
      </c>
      <c r="J15" s="112">
        <f>SUM('Pt 1 Summary of Data'!K$5:K$7)+SUM('Pt 1 Summary of Data'!M$5:M$7)-SUM('Pt 1 Summary of Data'!N$5:N$7)-SUM(J$10:J$11)+I$55</f>
        <v>0</v>
      </c>
      <c r="K15" s="112">
        <f>SUM(H15:J15)</f>
        <v>3395</v>
      </c>
      <c r="L15" s="113">
        <f>SUM('Pt 1 Summary of Data'!O5:O7)-L10</f>
        <v>0</v>
      </c>
      <c r="M15" s="123">
        <v>29115644</v>
      </c>
      <c r="N15" s="124">
        <v>16631131</v>
      </c>
      <c r="O15" s="112">
        <f>SUM('Pt 1 Summary of Data'!Q5:Q7)+N55</f>
        <v>13110767</v>
      </c>
      <c r="P15" s="112">
        <f>SUM(M15:O15)</f>
        <v>58857542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18241</v>
      </c>
      <c r="D16" s="116">
        <v>13477</v>
      </c>
      <c r="E16" s="121">
        <f>'Pt 1 Summary of Data'!E25+'Pt 1 Summary of Data'!E26+'Pt 1 Summary of Data'!E27+'Pt 1 Summary of Data'!E28+'Pt 1 Summary of Data'!E30+'Pt 1 Summary of Data'!E31+'Pt 1 Summary of Data'!E34+'Pt 1 Summary of Data'!E35+'Pt 3 MLR and Rebate Calculation'!D56</f>
        <v>1762</v>
      </c>
      <c r="F16" s="121">
        <f>SUM(C16:E16)</f>
        <v>33480</v>
      </c>
      <c r="G16" s="122">
        <f>'Pt 1 Summary of Data'!I25+'Pt 1 Summary of Data'!I26+'Pt 1 Summary of Data'!I27+'Pt 1 Summary of Data'!I28+'Pt 1 Summary of Data'!I30+'Pt 1 Summary of Data'!I31+'Pt 1 Summary of Data'!I34+'Pt 1 Summary of Data'!I35</f>
        <v>0</v>
      </c>
      <c r="H16" s="115">
        <v>8265</v>
      </c>
      <c r="I16" s="116">
        <v>1335</v>
      </c>
      <c r="J16" s="121">
        <f>'Pt 1 Summary of Data'!K25+'Pt 1 Summary of Data'!K26+'Pt 1 Summary of Data'!K27+'Pt 1 Summary of Data'!K28+'Pt 1 Summary of Data'!K30+'Pt 1 Summary of Data'!K31+'Pt 1 Summary of Data'!K34+'Pt 1 Summary of Data'!K35+'Pt 3 MLR and Rebate Calculation'!I56</f>
        <v>355</v>
      </c>
      <c r="K16" s="121">
        <f>SUM(H16:J16)</f>
        <v>9955</v>
      </c>
      <c r="L16" s="122">
        <f>'Pt 1 Summary of Data'!O25+'Pt 1 Summary of Data'!O26+'Pt 1 Summary of Data'!O27+'Pt 1 Summary of Data'!O28+'Pt 1 Summary of Data'!O30+'Pt 1 Summary of Data'!O31+'Pt 1 Summary of Data'!O34+'Pt 1 Summary of Data'!O35</f>
        <v>0</v>
      </c>
      <c r="M16" s="115">
        <v>1079280</v>
      </c>
      <c r="N16" s="116">
        <v>1218035</v>
      </c>
      <c r="O16" s="121">
        <f>'Pt 1 Summary of Data'!Q25+'Pt 1 Summary of Data'!Q26+'Pt 1 Summary of Data'!Q27+'Pt 1 Summary of Data'!Q28+'Pt 1 Summary of Data'!Q30+'Pt 1 Summary of Data'!Q31+'Pt 1 Summary of Data'!Q34+'Pt 1 Summary of Data'!Q35+'Pt 3 MLR and Rebate Calculation'!N56</f>
        <v>1095150</v>
      </c>
      <c r="P16" s="121">
        <f>SUM(M16:O16)</f>
        <v>3392465</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62387</v>
      </c>
      <c r="D17" s="121">
        <f>D$15-D$16+IF(AND(OR('Company Information'!$C$12="District of Columbia",'Company Information'!$C$12="Massachusetts",'Company Information'!$C$12="Vermont"),SUM($C$6:$F$11,$C$15:$F$16,$C$37:$D$37)&lt;&gt;0),I$15-I$16,0)</f>
        <v>25756</v>
      </c>
      <c r="E17" s="121">
        <f>E$15-E$16+IF(AND(OR('Company Information'!$C$12="District of Columbia",'Company Information'!$C$12="Massachusetts",'Company Information'!$C$12="Vermont"),SUM($C$6:$F$11,$C$15:$F$16,$C$37:$D$37)&lt;&gt;0),J$15-J$16,0)</f>
        <v>2161</v>
      </c>
      <c r="F17" s="121">
        <f>F$15-F$16+IF(AND(OR('Company Information'!$C$12="District of Columbia",'Company Information'!$C$12="Massachusetts",'Company Information'!$C$12="Vermont"),SUM($C$6:$F$11,$C$15:$F$16,$C$37:$D$37)&lt;&gt;0),K$15-K$16,0)</f>
        <v>90304</v>
      </c>
      <c r="G17" s="320"/>
      <c r="H17" s="120">
        <f>H$15-H$16+IF(AND(OR('Company Information'!$C$12="District of Columbia",'Company Information'!$C$12="Massachusetts",'Company Information'!$C$12="Vermont"),SUM($H$6:$K$11,$H$15:$K$16,$H$37:$I$37)&lt;&gt;0),C$15-C$16,0)</f>
        <v>-4870</v>
      </c>
      <c r="I17" s="121">
        <f>I$15-I$16+IF(AND(OR('Company Information'!$C$12="District of Columbia",'Company Information'!$C$12="Massachusetts",'Company Information'!$C$12="Vermont"),SUM($H$6:$K$11,$H$15:$K$16,$H$37:$I$37)&lt;&gt;0),D$15-D$16,0)</f>
        <v>-1335</v>
      </c>
      <c r="J17" s="121">
        <f>J$15-J$16+IF(AND(OR('Company Information'!$C$12="District of Columbia",'Company Information'!$C$12="Massachusetts",'Company Information'!$C$12="Vermont"),SUM($H$6:$K$11,$H$15:$K$16,$H$37:$I$37)&lt;&gt;0),E$15-E$16,0)</f>
        <v>-355</v>
      </c>
      <c r="K17" s="121">
        <f>K$15-K$16+IF(AND(OR('Company Information'!$C$12="District of Columbia",'Company Information'!$C$12="Massachusetts",'Company Information'!$C$12="Vermont"),SUM($H$6:$K$11,$H$15:$K$16,$H$37:$I$37)&lt;&gt;0),F$15-F$16,0)</f>
        <v>-6560</v>
      </c>
      <c r="L17" s="320"/>
      <c r="M17" s="120">
        <f>M$15-M$16</f>
        <v>28036364</v>
      </c>
      <c r="N17" s="121">
        <f>N$15-N$16</f>
        <v>15413096</v>
      </c>
      <c r="O17" s="121">
        <f>O$15-O$16</f>
        <v>12015617</v>
      </c>
      <c r="P17" s="121">
        <f>P$15-P$16</f>
        <v>55465077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3</v>
      </c>
      <c r="E37" s="262">
        <f>'Pt 1 Summary of Data'!E60</f>
        <v>0.25</v>
      </c>
      <c r="F37" s="262">
        <f>SUM(C37:E37)</f>
        <v>8.25</v>
      </c>
      <c r="G37" s="318"/>
      <c r="H37" s="127">
        <v>0</v>
      </c>
      <c r="I37" s="128">
        <v>0</v>
      </c>
      <c r="J37" s="262">
        <f>'Pt 1 Summary of Data'!K60</f>
        <v>0</v>
      </c>
      <c r="K37" s="262">
        <f>SUM(H37:J37)</f>
        <v>0</v>
      </c>
      <c r="L37" s="318"/>
      <c r="M37" s="127">
        <v>5960</v>
      </c>
      <c r="N37" s="128">
        <v>3004</v>
      </c>
      <c r="O37" s="262">
        <f>'Pt 1 Summary of Data'!Q60</f>
        <v>2000.3333333333333</v>
      </c>
      <c r="P37" s="262">
        <f>SUM(M37:O37)</f>
        <v>10964.333333333334</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0.80676727552831029</v>
      </c>
      <c r="N44" s="266">
        <f>IF(OR(N$37&lt;1000,N$17&lt;=0),"",N$12/N$17)</f>
        <v>0.78346829215882385</v>
      </c>
      <c r="O44" s="266">
        <f>IF(OR(O$37&lt;1000,O$17&lt;=0),"",O$12/O$17)</f>
        <v>0.80919539962034404</v>
      </c>
      <c r="P44" s="266">
        <f>IF(OR(P$37&lt;1000,P$17&lt;=0),"",P$12/P$17)</f>
        <v>0.80081877466788698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0.80100000000000005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0.80100000000000005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12015617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588765.23299999919</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861</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13</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588765.23299999919</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588765.01</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570285</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1</v>
      </c>
      <c r="F21" s="376"/>
      <c r="G21" s="145">
        <v>0</v>
      </c>
      <c r="H21" s="145">
        <v>0</v>
      </c>
      <c r="I21" s="359"/>
      <c r="J21" s="359"/>
      <c r="K21" s="377"/>
    </row>
    <row r="22" spans="2:12" s="11" customFormat="1" x14ac:dyDescent="0.2">
      <c r="B22" s="217" t="s">
        <v>211</v>
      </c>
      <c r="C22" s="192">
        <v>0</v>
      </c>
      <c r="D22" s="218">
        <v>0</v>
      </c>
      <c r="E22" s="218">
        <v>128.62</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