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46" i="10" s="1"/>
  <c r="Z13" i="10"/>
  <c r="Y46" i="10"/>
  <c r="Y17" i="10"/>
  <c r="Y13" i="10"/>
  <c r="X41" i="10"/>
  <c r="W16" i="10"/>
  <c r="X16" i="10" s="1"/>
  <c r="T41" i="10"/>
  <c r="S16" i="10"/>
  <c r="T16" i="10" s="1"/>
  <c r="P41" i="10"/>
  <c r="P16" i="10"/>
  <c r="O38" i="10"/>
  <c r="O16" i="10"/>
  <c r="N17" i="10"/>
  <c r="N45" i="10" s="1"/>
  <c r="N12" i="10"/>
  <c r="M45" i="10"/>
  <c r="M17" i="10"/>
  <c r="M12" i="10"/>
  <c r="L60" i="10"/>
  <c r="L59" i="10"/>
  <c r="L58" i="10" s="1"/>
  <c r="L36" i="10"/>
  <c r="L35" i="10"/>
  <c r="L16" i="10"/>
  <c r="L10" i="10"/>
  <c r="K41" i="10"/>
  <c r="K10" i="10"/>
  <c r="J16" i="10"/>
  <c r="K16" i="10" s="1"/>
  <c r="J11" i="10"/>
  <c r="K11" i="10" s="1"/>
  <c r="J10" i="10"/>
  <c r="G60" i="10"/>
  <c r="G59" i="10"/>
  <c r="G58" i="10" s="1"/>
  <c r="G36" i="10"/>
  <c r="G35" i="10"/>
  <c r="G16" i="10"/>
  <c r="G10" i="10"/>
  <c r="G9" i="10"/>
  <c r="G8" i="10"/>
  <c r="F41" i="10"/>
  <c r="F10" i="10"/>
  <c r="E16" i="10"/>
  <c r="F16" i="10" s="1"/>
  <c r="E11" i="10"/>
  <c r="F11" i="10" s="1"/>
  <c r="E10" i="10"/>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12" i="4"/>
  <c r="AU5" i="4"/>
  <c r="AT60" i="4"/>
  <c r="AT22" i="4"/>
  <c r="AT5" i="4"/>
  <c r="AS60" i="4"/>
  <c r="AS22" i="4"/>
  <c r="AS12" i="4"/>
  <c r="AS5" i="4"/>
  <c r="AC60" i="4"/>
  <c r="AC22" i="4"/>
  <c r="AC5" i="4"/>
  <c r="AB60" i="4"/>
  <c r="AB22" i="4"/>
  <c r="AB12" i="4"/>
  <c r="AA6" i="10" s="1"/>
  <c r="AB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H60" i="4"/>
  <c r="H22" i="4"/>
  <c r="H12" i="4"/>
  <c r="H5" i="4"/>
  <c r="G60" i="4"/>
  <c r="G22" i="4"/>
  <c r="G5" i="4"/>
  <c r="F60" i="4"/>
  <c r="F22" i="4"/>
  <c r="F12" i="4"/>
  <c r="F5" i="4"/>
  <c r="E60" i="4"/>
  <c r="E22" i="4"/>
  <c r="E5" i="4"/>
  <c r="E7" i="10" s="1"/>
  <c r="F7" i="10" s="1"/>
  <c r="D60" i="4"/>
  <c r="D22" i="4"/>
  <c r="D12" i="4"/>
  <c r="D5" i="4"/>
  <c r="F6" i="10" l="1"/>
  <c r="K6" i="10"/>
  <c r="H17" i="10" s="1"/>
  <c r="J38" i="10"/>
  <c r="L20" i="10"/>
  <c r="P6" i="10"/>
  <c r="U17" i="10"/>
  <c r="W38" i="10"/>
  <c r="U13" i="10"/>
  <c r="V13" i="10"/>
  <c r="X6" i="10"/>
  <c r="G15" i="10"/>
  <c r="K15" i="10"/>
  <c r="P15" i="10"/>
  <c r="P17" i="10" s="1"/>
  <c r="O17" i="10"/>
  <c r="X15" i="10"/>
  <c r="L15" i="10"/>
  <c r="L19" i="10"/>
  <c r="T6" i="10"/>
  <c r="AB13" i="10"/>
  <c r="AA13" i="10"/>
  <c r="AB38" i="10"/>
  <c r="E15" i="10"/>
  <c r="J7" i="10"/>
  <c r="K7" i="10" s="1"/>
  <c r="O7" i="10"/>
  <c r="P7" i="10" s="1"/>
  <c r="S15" i="10"/>
  <c r="W7" i="10"/>
  <c r="X7" i="10" s="1"/>
  <c r="AA15" i="10"/>
  <c r="P38" i="10"/>
  <c r="G7" i="10"/>
  <c r="G19" i="10" s="1"/>
  <c r="H45" i="10" l="1"/>
  <c r="D12" i="10"/>
  <c r="G27" i="10"/>
  <c r="G23" i="10"/>
  <c r="G22" i="10"/>
  <c r="G32" i="10"/>
  <c r="G24" i="10"/>
  <c r="X38" i="10"/>
  <c r="J45" i="10"/>
  <c r="K38" i="10"/>
  <c r="G20" i="10"/>
  <c r="AA17" i="10"/>
  <c r="AA46" i="10" s="1"/>
  <c r="AB15" i="10"/>
  <c r="AB17" i="10" s="1"/>
  <c r="AB46" i="10" s="1"/>
  <c r="Q13" i="10"/>
  <c r="L32" i="10"/>
  <c r="L27" i="10"/>
  <c r="L23" i="10"/>
  <c r="L24" i="10"/>
  <c r="L22" i="10"/>
  <c r="U46" i="10"/>
  <c r="I17" i="10"/>
  <c r="I45" i="10" s="1"/>
  <c r="F15" i="10"/>
  <c r="R13" i="10"/>
  <c r="W17" i="10"/>
  <c r="W46" i="10" s="1"/>
  <c r="J17" i="10"/>
  <c r="V17" i="10"/>
  <c r="V46" i="10" s="1"/>
  <c r="J12" i="10"/>
  <c r="I12" i="10"/>
  <c r="C17" i="10"/>
  <c r="P52" i="10"/>
  <c r="S17" i="10"/>
  <c r="T15" i="10"/>
  <c r="AB42" i="10"/>
  <c r="AB39" i="10"/>
  <c r="AB52" i="10"/>
  <c r="R17" i="10"/>
  <c r="R46" i="10" s="1"/>
  <c r="X17" i="10"/>
  <c r="K17" i="10"/>
  <c r="W13" i="10"/>
  <c r="O12" i="10"/>
  <c r="P12" i="10" s="1"/>
  <c r="P45" i="10" s="1"/>
  <c r="H12" i="10"/>
  <c r="AB48" i="10" l="1"/>
  <c r="AB51" i="10" s="1"/>
  <c r="AB47" i="10"/>
  <c r="G21" i="10"/>
  <c r="G30" i="10"/>
  <c r="AB53" i="10"/>
  <c r="H11" i="16" s="1"/>
  <c r="K12" i="10"/>
  <c r="C45" i="10"/>
  <c r="F17" i="10"/>
  <c r="C12" i="10"/>
  <c r="E38" i="10"/>
  <c r="X13" i="10"/>
  <c r="G31" i="10"/>
  <c r="G29" i="10" s="1"/>
  <c r="G33" i="10" s="1"/>
  <c r="G34" i="10" s="1"/>
  <c r="G26" i="10"/>
  <c r="G25" i="10" s="1"/>
  <c r="G28" i="10" s="1"/>
  <c r="D17" i="10"/>
  <c r="D45" i="10" s="1"/>
  <c r="T17" i="10"/>
  <c r="S13" i="10"/>
  <c r="Q17" i="10"/>
  <c r="E12" i="10"/>
  <c r="E17" i="10"/>
  <c r="L21" i="10"/>
  <c r="L26" i="10" s="1"/>
  <c r="L25" i="10" s="1"/>
  <c r="L28" i="10" s="1"/>
  <c r="L30" i="10"/>
  <c r="L31" i="10" s="1"/>
  <c r="L29" i="10" s="1"/>
  <c r="L33" i="10" s="1"/>
  <c r="L34" i="10" s="1"/>
  <c r="S38" i="10"/>
  <c r="K53" i="10"/>
  <c r="D11" i="16" s="1"/>
  <c r="K39" i="10"/>
  <c r="K42" i="10"/>
  <c r="K52" i="10"/>
  <c r="K45" i="10"/>
  <c r="X53" i="10"/>
  <c r="G11" i="16" s="1"/>
  <c r="X39" i="10"/>
  <c r="X52" i="10"/>
  <c r="X46" i="10"/>
  <c r="X42" i="10"/>
  <c r="O45" i="10"/>
  <c r="P39" i="10" s="1"/>
  <c r="P42" i="10" s="1"/>
  <c r="P47" i="10" s="1"/>
  <c r="P48" i="10" s="1"/>
  <c r="P51" i="10" s="1"/>
  <c r="P53" i="10" s="1"/>
  <c r="E11" i="16" s="1"/>
  <c r="Q46" i="10" l="1"/>
  <c r="T13" i="10"/>
  <c r="X47" i="10"/>
  <c r="X48" i="10"/>
  <c r="X51" i="10" s="1"/>
  <c r="K47" i="10"/>
  <c r="K48" i="10"/>
  <c r="K51" i="10" s="1"/>
  <c r="S46" i="10"/>
  <c r="T38" i="10"/>
  <c r="E45" i="10"/>
  <c r="F38" i="10"/>
  <c r="F12" i="10"/>
  <c r="T42" i="10" l="1"/>
  <c r="T53" i="10"/>
  <c r="F11" i="16" s="1"/>
  <c r="T39" i="10"/>
  <c r="T52" i="10"/>
  <c r="T46" i="10"/>
  <c r="F42" i="10"/>
  <c r="F53" i="10"/>
  <c r="C11" i="16" s="1"/>
  <c r="F39" i="10"/>
  <c r="F45" i="10"/>
  <c r="F52" i="10"/>
  <c r="F47" i="10" l="1"/>
  <c r="F48" i="10"/>
  <c r="F51" i="10" s="1"/>
  <c r="T48" i="10"/>
  <c r="T51" i="10" s="1"/>
  <c r="T47" i="10"/>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<sst xmlns="http://schemas.openxmlformats.org/spreadsheetml/2006/main" count="570" uniqueCount="509">
  <si>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</si>
  <si>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</si>
  <si>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</si>
  <si>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</si>
  <si>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</si>
  <si>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</si>
  <si>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</si>
  <si>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</si>
  <si>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</si>
  <si>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</si>
  <si>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</si>
  <si>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</si>
  <si>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</si>
  <si>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</si>
  <si>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</si>
  <si>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</si>
  <si>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</si>
  <si>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</si>
  <si>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</si>
  <si>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</si>
  <si>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</si>
  <si>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</si>
  <si>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</si>
  <si>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</si>
  <si>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</si>
  <si>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</si>
  <si>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</si>
  <si>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</si>
  <si>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</si>
  <si>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</si>
  <si>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</si>
  <si>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</si>
  <si>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</si>
  <si>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</si>
  <si>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</si>
  <si>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</si>
  <si>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</si>
  <si>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</si>
  <si>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</si>
  <si>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</si>
  <si>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</si>
  <si>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</si>
  <si>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</si>
  <si>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</si>
  <si>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</si>
  <si>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</si>
  <si>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</si>
  <si>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</si>
  <si>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</si>
  <si>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</si>
  <si>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</si>
  <si>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</si>
  <si>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</si>
  <si>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</si>
  <si>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</si>
  <si>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</si>
  <si>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</si>
  <si>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</si>
  <si>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</si>
  <si>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</si>
  <si>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</si>
  <si>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</si>
  <si>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</si>
  <si>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</si>
  <si>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</si>
  <si>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</si>
  <si>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</si>
  <si>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</si>
  <si>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</si>
  <si>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</si>
  <si>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</si>
  <si>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</si>
  <si>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</si>
  <si>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</si>
  <si>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</si>
  <si>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</si>
  <si>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</si>
  <si>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</si>
  <si>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</si>
  <si>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</si>
  <si>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</si>
  <si>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</si>
  <si>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</si>
  <si>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</si>
  <si>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</si>
  <si>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</si>
  <si>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</si>
  <si>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</si>
  <si>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</si>
  <si>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</si>
  <si>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</si>
  <si>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</si>
  <si>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</si>
  <si>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</si>
  <si>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</si>
  <si>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</si>
  <si>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</si>
  <si>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</si>
  <si>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</si>
  <si>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</si>
  <si>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</si>
  <si>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</si>
  <si>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</si>
  <si>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</si>
  <si>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</si>
  <si>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</si>
  <si>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</si>
  <si>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</si>
  <si>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</si>
  <si>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</si>
  <si>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</si>
  <si>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</si>
  <si>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</si>
  <si>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</si>
  <si>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</si>
  <si>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</si>
  <si>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</si>
  <si>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</si>
  <si>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</si>
  <si>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</si>
  <si>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</si>
  <si>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</si>
  <si>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</si>
  <si>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</si>
  <si>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</si>
  <si>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</si>
  <si>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</si>
  <si>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</si>
  <si>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</si>
  <si>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</si>
  <si>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</si>
  <si>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</si>
  <si>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</si>
  <si>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</si>
  <si>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</si>
  <si>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</si>
  <si>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</si>
  <si>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</si>
  <si>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</si>
  <si>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</si>
  <si>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</si>
  <si>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</si>
  <si>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</si>
  <si>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</si>
  <si>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</si>
  <si>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</si>
  <si>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</si>
  <si>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</si>
  <si>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</si>
  <si>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</si>
  <si>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</si>
  <si>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</si>
  <si>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</si>
  <si>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</si>
  <si>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</si>
  <si>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</si>
  <si>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</si>
  <si>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</si>
  <si>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</si>
  <si>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</si>
  <si>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</si>
  <si>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</si>
  <si>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</si>
  <si>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</si>
  <si>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</si>
  <si>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</si>
  <si>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</si>
  <si>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</si>
  <si>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</si>
  <si>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</si>
  <si>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</si>
  <si>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</si>
  <si>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</si>
  <si>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</si>
  <si>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</si>
  <si>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</si>
  <si>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</si>
  <si>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</si>
  <si>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</si>
  <si>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</si>
  <si>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</si>
  <si>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</si>
  <si>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</si>
  <si>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</si>
  <si>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</si>
  <si>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</si>
  <si>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</si>
  <si>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</si>
  <si>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</si>
  <si>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</si>
  <si>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</si>
  <si>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</si>
  <si>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</si>
  <si>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</si>
  <si>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</si>
  <si>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</si>
  <si>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</si>
  <si>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</si>
  <si>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</si>
  <si>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</si>
  <si>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</si>
  <si>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</si>
  <si>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</si>
  <si>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</si>
  <si>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</si>
  <si>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</si>
  <si>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</si>
  <si>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</si>
  <si>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</si>
  <si>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</si>
  <si>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</si>
  <si>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</si>
  <si>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</si>
  <si>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</si>
  <si>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</si>
  <si>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</si>
  <si>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</si>
  <si>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</si>
  <si>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</si>
  <si>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</si>
  <si>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</si>
  <si>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</si>
  <si>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</si>
  <si>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</si>
  <si>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</si>
  <si>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</si>
  <si>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</si>
  <si>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</si>
  <si>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</si>
  <si>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</si>
  <si>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</si>
  <si>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</si>
  <si>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</si>
  <si>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</si>
  <si>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</si>
  <si>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</si>
  <si>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</si>
  <si>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</si>
  <si>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</si>
  <si>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</si>
  <si>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</si>
  <si>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</si>
  <si>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</si>
  <si>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</si>
  <si>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</si>
  <si>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</si>
  <si>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</si>
  <si>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</si>
  <si>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</si>
  <si>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</si>
  <si>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</si>
  <si>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</si>
  <si>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</si>
  <si>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</si>
  <si>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</si>
  <si>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</si>
  <si>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</si>
  <si>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</si>
  <si>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</si>
  <si>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</si>
  <si>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</si>
  <si>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</si>
  <si>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</si>
  <si>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</si>
  <si>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</si>
  <si>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</si>
  <si>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</si>
  <si>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</si>
  <si>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</si>
  <si>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</si>
  <si>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</si>
  <si>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</si>
  <si>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</si>
  <si>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</si>
  <si>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</si>
  <si>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</si>
  <si>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</si>
  <si>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</si>
  <si>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</si>
  <si>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</si>
  <si>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</si>
  <si>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</si>
  <si>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</si>
  <si>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</si>
  <si>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</si>
  <si>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</si>
  <si>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</si>
  <si>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</si>
  <si>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</si>
  <si>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</si>
  <si>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</si>
  <si>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</si>
  <si>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</si>
  <si>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</si>
  <si>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</si>
  <si>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</si>
  <si>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</si>
  <si>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</si>
  <si>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</si>
  <si>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</si>
  <si>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</si>
  <si>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</si>
  <si>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</si>
  <si>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</si>
  <si>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</si>
  <si>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</si>
  <si>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</si>
  <si>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</si>
  <si>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</si>
  <si>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</si>
  <si>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</si>
  <si>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</si>
  <si>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</si>
  <si>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</si>
  <si>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</si>
  <si>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</si>
  <si>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</si>
  <si>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</si>
  <si>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</si>
  <si>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</si>
  <si>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</si>
  <si>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</si>
  <si>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</si>
  <si>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</si>
  <si>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</si>
  <si>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</si>
  <si>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</si>
  <si>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</si>
  <si>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</si>
  <si>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</si>
  <si>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</si>
  <si>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</si>
  <si>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</si>
  <si>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</si>
  <si>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</si>
  <si>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</si>
  <si>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</si>
  <si>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</si>
  <si>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</si>
  <si>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</si>
  <si>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</si>
  <si>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</si>
  <si>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</si>
  <si>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</si>
  <si>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</si>
  <si>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</si>
  <si>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</si>
  <si>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</si>
  <si>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</si>
  <si>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</si>
  <si>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</si>
  <si>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</si>
  <si>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</si>
  <si>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</si>
  <si>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</si>
  <si>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</si>
  <si>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</si>
  <si>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</si>
  <si>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</si>
  <si>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</si>
  <si>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</si>
  <si>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</si>
  <si>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</si>
  <si>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</si>
  <si>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</si>
  <si>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</si>
  <si>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</si>
  <si>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</si>
  <si>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</si>
  <si>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</si>
  <si>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</si>
  <si>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</si>
  <si>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</si>
  <si>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</si>
  <si>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</si>
  <si>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</si>
  <si>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</si>
  <si>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</si>
  <si>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</si>
  <si>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</si>
  <si>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</si>
  <si>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</si>
  <si>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</si>
  <si>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</si>
  <si>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</si>
  <si>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</si>
  <si>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</si>
  <si>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</si>
  <si>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</si>
  <si>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</si>
  <si>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</si>
  <si>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</si>
  <si>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</si>
  <si>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</si>
  <si>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</si>
  <si>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</si>
  <si>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</si>
  <si>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</si>
  <si>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</si>
  <si>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</si>
  <si>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</si>
  <si>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</si>
  <si>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</si>
  <si>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</si>
  <si>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</si>
  <si>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</si>
  <si>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</si>
  <si>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</si>
  <si>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</si>
  <si>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</si>
  <si>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</si>
  <si>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</si>
  <si>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</si>
  <si>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</si>
  <si>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</si>
  <si>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</si>
  <si>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</si>
  <si>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</si>
  <si>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</si>
  <si>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</si>
  <si>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</si>
  <si>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</si>
  <si>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</si>
  <si>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</si>
  <si>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</si>
  <si>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</si>
  <si>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</si>
  <si>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</si>
  <si>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</si>
  <si>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</si>
  <si>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</si>
  <si>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</si>
  <si>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</si>
  <si>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</si>
  <si>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</si>
  <si>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</si>
  <si>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</si>
  <si>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</si>
  <si>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</si>
  <si>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</si>
  <si>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</si>
  <si>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</si>
  <si>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</si>
  <si>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</si>
  <si>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</si>
  <si>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</si>
  <si>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</si>
  <si>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</si>
  <si>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</si>
  <si>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</si>
  <si>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</si>
  <si>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</si>
  <si>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</si>
  <si>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</si>
  <si>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</si>
  <si>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</si>
  <si>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</si>
  <si>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</si>
  <si>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</si>
  <si>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</si>
  <si>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</si>
  <si>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</si>
  <si>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</si>
  <si>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</si>
  <si>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</si>
  <si>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</si>
  <si>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</si>
  <si>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</si>
  <si>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</si>
  <si>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</si>
  <si>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</si>
  <si>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</si>
  <si>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</si>
  <si>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</si>
  <si>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</si>
  <si>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</si>
  <si>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</si>
  <si>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</si>
  <si>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</si>
  <si>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</si>
  <si>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</si>
  <si>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</si>
  <si>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</si>
  <si>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</si>
  <si>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</si>
  <si>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</si>
  <si>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</si>
  <si>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</si>
  <si>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</si>
  <si>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</si>
  <si>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</si>
  <si>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</si>
  <si>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</si>
  <si>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</si>
  <si>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</si>
  <si>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</si>
  <si>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North Carolina, Inc.</t>
  </si>
  <si>
    <t>Cigna Hlth Grp</t>
  </si>
  <si>
    <t>N/A</t>
  </si>
  <si>
    <t>00901</t>
  </si>
  <si>
    <t>2015</t>
  </si>
  <si>
    <t>701 Corporate Center Drive Raleigh, NC 27607</t>
  </si>
  <si>
    <t>561479515</t>
  </si>
  <si>
    <t>008570</t>
  </si>
  <si>
    <t>95132</t>
  </si>
  <si>
    <t>73943</t>
  </si>
  <si>
    <t>106</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</si>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</sst>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168</v>
      </c>
    </row>
    <row r="13" spans="1:6" x14ac:dyDescent="0.2">
      <c r="B13" s="153" t="s">
        <v>50</v>
      </c>
      <c r="C13" s="486" t="s">
        <v>168</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13258212</v>
      </c>
      <c r="Q5" s="219">
        <f>SUM('Pt 2 Premium and Claims'!Q$5,'Pt 2 Premium and Claims'!Q$6,-'Pt 2 Premium and Claims'!Q$7,-'Pt 2 Premium and Claims'!Q$13,'Pt 2 Premium and Claims'!Q$14)</f>
        <v>13266254</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62418213.270000003</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77</v>
      </c>
      <c r="Q7" s="223">
        <v>77</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-186397</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-294</v>
      </c>
      <c r="E12" s="219">
        <f>'Pt 2 Premium and Claims'!E$54</f>
        <v>-2</v>
      </c>
      <c r="F12" s="219">
        <f>'Pt 2 Premium and Claims'!F$54</f>
        <v>0</v>
      </c>
      <c r="G12" s="219">
        <f>'Pt 2 Premium and Claims'!G$54</f>
        <v>0</v>
      </c>
      <c r="H12" s="219">
        <f>'Pt 2 Premium and Claims'!H$54</f>
        <v>0</v>
      </c>
      <c r="I12" s="218">
        <f>'Pt 2 Premium and Claims'!I$54</f>
        <v>0</v>
      </c>
      <c r="J12" s="218">
        <f>'Pt 2 Premium and Claims'!J$54</f>
        <v>-399</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9906309</v>
      </c>
      <c r="Q12" s="219">
        <f>'Pt 2 Premium and Claims'!Q$54</f>
        <v>10379298</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0</v>
      </c>
      <c r="AU12" s="220">
        <f>'Pt 2 Premium and Claims'!AU$54</f>
        <v>56936083.620000005</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1833223</v>
      </c>
      <c r="Q13" s="223">
        <v>1861307</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9138601.1400000006</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2593939.4500000002</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26</v>
      </c>
      <c r="Q15" s="223">
        <v>26</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-72625</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-3798862</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588765</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569468</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606169</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82</v>
      </c>
      <c r="E25" s="223">
        <v>82</v>
      </c>
      <c r="F25" s="223"/>
      <c r="G25" s="223"/>
      <c r="H25" s="223"/>
      <c r="I25" s="222">
        <v>0</v>
      </c>
      <c r="J25" s="222">
        <v>111</v>
      </c>
      <c r="K25" s="223">
        <v>111</v>
      </c>
      <c r="L25" s="223"/>
      <c r="M25" s="223"/>
      <c r="N25" s="223"/>
      <c r="O25" s="222"/>
      <c r="P25" s="222">
        <v>428176</v>
      </c>
      <c r="Q25" s="223">
        <v>428176</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-31554</v>
      </c>
      <c r="AU25" s="226">
        <v>-1420470</v>
      </c>
      <c r="AV25" s="226">
        <v>0</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8383</v>
      </c>
      <c r="Q26" s="223">
        <v>8383</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254257</v>
      </c>
      <c r="Q27" s="223">
        <v>254257</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1058981.31</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30354</v>
      </c>
      <c r="Q28" s="223">
        <v>30354</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6339</v>
      </c>
      <c r="Q30" s="223">
        <v>6339</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0</v>
      </c>
      <c r="AU30" s="226">
        <v>197690</v>
      </c>
      <c r="AV30" s="226">
        <v>0</v>
      </c>
      <c r="AW30" s="303"/>
    </row>
    <row r="31" spans="1:49" x14ac:dyDescent="0.2">
      <c r="B31" s="248" t="s">
        <v>247</v>
      </c>
      <c r="C31" s="209"/>
      <c r="D31" s="222">
        <v>0</v>
      </c>
      <c r="E31" s="223">
        <v>0</v>
      </c>
      <c r="F31" s="223"/>
      <c r="G31" s="223"/>
      <c r="H31" s="223"/>
      <c r="I31" s="222">
        <v>0</v>
      </c>
      <c r="J31" s="222">
        <v>0</v>
      </c>
      <c r="K31" s="223">
        <v>0</v>
      </c>
      <c r="L31" s="223"/>
      <c r="M31" s="223"/>
      <c r="N31" s="223"/>
      <c r="O31" s="222"/>
      <c r="P31" s="222">
        <v>187166</v>
      </c>
      <c r="Q31" s="223">
        <v>187166</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16822</v>
      </c>
      <c r="Q34" s="223">
        <v>16822</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-417</v>
      </c>
      <c r="Q35" s="223">
        <v>-417</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3116</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9348</v>
      </c>
      <c r="Q37" s="231">
        <v>10590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159358.12</v>
      </c>
      <c r="AV37" s="232">
        <v>0</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5208</v>
      </c>
      <c r="Q38" s="223">
        <v>5505</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132798.44</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2071</v>
      </c>
      <c r="Q39" s="223">
        <v>11642</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79679.06</v>
      </c>
      <c r="AV39" s="226">
        <v>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3256</v>
      </c>
      <c r="Q40" s="223">
        <v>3256</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53119.37</v>
      </c>
      <c r="AV40" s="226">
        <v>0</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4748</v>
      </c>
      <c r="Q41" s="223">
        <v>4832</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106238.75</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117</v>
      </c>
      <c r="Q42" s="223">
        <v>117</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73467</v>
      </c>
      <c r="Q44" s="231">
        <v>126038</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474540.5</v>
      </c>
      <c r="AV44" s="232">
        <v>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68741</v>
      </c>
      <c r="Q45" s="223">
        <v>68741</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775713.69</v>
      </c>
      <c r="AV45" s="226">
        <v>0</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16274</v>
      </c>
      <c r="Q46" s="223">
        <v>16274</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49179</v>
      </c>
      <c r="Q47" s="223">
        <v>49179</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-81367</v>
      </c>
      <c r="Q49" s="223">
        <v>-81367</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2555</v>
      </c>
      <c r="Q50" s="223">
        <v>2555</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1405858</v>
      </c>
      <c r="Q51" s="223">
        <v>1405858</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0</v>
      </c>
      <c r="AU51" s="226">
        <v>7599365.2199999997</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318</v>
      </c>
      <c r="Q53" s="223">
        <v>318</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838</v>
      </c>
      <c r="Q56" s="235">
        <v>838</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7637</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1960</v>
      </c>
      <c r="Q57" s="238">
        <v>1960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7637</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16</v>
      </c>
      <c r="Q58" s="238">
        <v>16</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7637</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23535</v>
      </c>
      <c r="Q59" s="238">
        <v>23535</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85841</v>
      </c>
      <c r="AV59" s="239">
        <v>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1961.25</v>
      </c>
      <c r="Q60" s="241">
        <f>Q$59/12</f>
        <v>1961.25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7153.416666666667</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266614</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-159307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13261971</v>
      </c>
      <c r="Q5" s="332">
        <v>13270013</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0</v>
      </c>
      <c r="AU5" s="333">
        <v>62418213.270000003</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3759</v>
      </c>
      <c r="Q13" s="325">
        <v>3759</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-399</v>
      </c>
      <c r="K23" s="368"/>
      <c r="L23" s="368"/>
      <c r="M23" s="368"/>
      <c r="N23" s="368"/>
      <c r="O23" s="370"/>
      <c r="P23" s="324">
        <v>9968639</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52371476.560000002</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10326915</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910736</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6449217.0999999996</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51746</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292</v>
      </c>
      <c r="E28" s="369"/>
      <c r="F28" s="369"/>
      <c r="G28" s="369"/>
      <c r="H28" s="369"/>
      <c r="I28" s="371"/>
      <c r="J28" s="324">
        <v>0</v>
      </c>
      <c r="K28" s="369"/>
      <c r="L28" s="369"/>
      <c r="M28" s="369"/>
      <c r="N28" s="369"/>
      <c r="O28" s="371"/>
      <c r="P28" s="324">
        <v>973703</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1107075</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7530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7530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v>
      </c>
      <c r="E36" s="325">
        <v>2</v>
      </c>
      <c r="F36" s="325"/>
      <c r="G36" s="325"/>
      <c r="H36" s="325"/>
      <c r="I36" s="324">
        <v>0</v>
      </c>
      <c r="J36" s="324">
        <v>0</v>
      </c>
      <c r="K36" s="325">
        <v>0</v>
      </c>
      <c r="L36" s="325"/>
      <c r="M36" s="325"/>
      <c r="N36" s="325"/>
      <c r="O36" s="324"/>
      <c r="P36" s="324">
        <v>8258</v>
      </c>
      <c r="Q36" s="325">
        <v>8258</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1365</v>
      </c>
      <c r="Q45" s="325">
        <v>1365</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165924.5</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128513</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996142.54</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181196</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-294</v>
      </c>
      <c r="E54" s="329">
        <f>E24+E27+E31+E35-E36+E39+E42+E45+E46-E49+E51+E52+E53</f>
        <v>-2</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-399</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9906309</v>
      </c>
      <c r="Q54" s="329">
        <f>Q24+Q27+Q31+Q35-Q36+Q39+Q42+Q45+Q46-Q49+Q51+Q52+Q53</f>
        <v>10379298</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0</v>
      </c>
      <c r="AU54" s="330">
        <f>AU23+AU26-AU28+AU30-AU32+AU34-AU36+AU38+AU41-AU43+AU45+AU46-AU47-AU49+AU50+AU51+AU52+AU53</f>
        <v>56936083.620000005</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1592</v>
      </c>
      <c r="D6" s="404">
        <v>1932</v>
      </c>
      <c r="E6" s="406">
        <f>SUM('Pt 1 Summary of Data'!E$12,'Pt 1 Summary of Data'!E$22)+SUM('Pt 1 Summary of Data'!G$12,'Pt 1 Summary of Data'!G$22)-SUM('Pt 1 Summary of Data'!H$12,'Pt 1 Summary of Data'!H$22)</f>
        <v>-2</v>
      </c>
      <c r="F6" s="406">
        <f>SUM(C6:E6)</f>
        <v>3522</v>
      </c>
      <c r="G6" s="407">
        <f>SUM('Pt 1 Summary of Data'!I$12,'Pt 1 Summary of Data'!I$22)</f>
        <v>0</v>
      </c>
      <c r="H6" s="403">
        <v>0</v>
      </c>
      <c r="I6" s="404">
        <v>-5</v>
      </c>
      <c r="J6" s="406">
        <f>SUM('Pt 1 Summary of Data'!K$12,'Pt 1 Summary of Data'!K$22)+SUM('Pt 1 Summary of Data'!M$12,'Pt 1 Summary of Data'!M$22)-SUM('Pt 1 Summary of Data'!N$12,'Pt 1 Summary of Data'!N$22)</f>
        <v>0</v>
      </c>
      <c r="K6" s="406">
        <f>SUM(H6:J6)</f>
        <v>-5</v>
      </c>
      <c r="L6" s="407">
        <f>SUM('Pt 1 Summary of Data'!O$12,'Pt 1 Summary of Data'!O$22)</f>
        <v>0</v>
      </c>
      <c r="M6" s="403">
        <v>12056091</v>
      </c>
      <c r="N6" s="404">
        <v>9668077</v>
      </c>
      <c r="O6" s="406">
        <f>SUM('Pt 1 Summary of Data'!Q$12,'Pt 1 Summary of Data'!Q$22)+SUM('Pt 1 Summary of Data'!S$12,'Pt 1 Summary of Data'!S$22)-SUM('Pt 1 Summary of Data'!T$12,'Pt 1 Summary of Data'!T$22)</f>
        <v>10379298</v>
      </c>
      <c r="P6" s="406">
        <f>SUM(M6:O6)</f>
        <v>32103466</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11</v>
      </c>
      <c r="D7" s="404">
        <v>4</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15</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20016</v>
      </c>
      <c r="N7" s="404">
        <v>40202</v>
      </c>
      <c r="O7" s="406">
        <f>SUM('Pt 1 Summary of Data'!Q$37:Q$41)+SUM('Pt 1 Summary of Data'!S$37:S$41)-SUM('Pt 1 Summary of Data'!T$37:T$41)+MAX(0,MIN('Pt 1 Summary of Data'!Q$42+'Pt 1 Summary of Data'!S$42-'Pt 1 Summary of Data'!T$42,0.3%*('Pt 1 Summary of Data'!Q$5+'Pt 1 Summary of Data'!S$5-'Pt 1 Summary of Data'!T$5)))</f>
        <v>35942</v>
      </c>
      <c r="P7" s="406">
        <f>SUM(M7:O7)</f>
        <v>96160</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1603</v>
      </c>
      <c r="D12" s="406">
        <f>SUM(D$6:D$7) - SUM(D$8:D$11)+IF(AND(OR('Company Information'!$C$12="District of Columbia",'Company Information'!$C$12="Massachusetts",'Company Information'!$C$12="Vermont"),SUM($C$6:$F$11,$C$15:$F$16,$C$38:$D$38)&lt;&gt;0),SUM(I$6:I$7) - SUM(I$10:I$11),0)</f>
        <v>1936</v>
      </c>
      <c r="E12" s="406">
        <f>SUM(E$6:E$7)-SUM(E$8:E$11)+IF(AND(OR('Company Information'!$C$12="District of Columbia",'Company Information'!$C$12="Massachusetts",'Company Information'!$C$12="Vermont"),SUM($C$6:$F$11,$C$15:$F$16,$C$38:$D$38)&lt;&gt;0),SUM(J$6:J$7)-SUM(J$10:J$11),0)</f>
        <v>-2</v>
      </c>
      <c r="F12" s="406">
        <f>IFERROR(SUM(C$12:E$12)+C$17*MAX(0,E$50-C$50)+D$17*MAX(0,E$50-D$50),0)</f>
        <v>3537</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-5</v>
      </c>
      <c r="J12" s="406">
        <f>SUM(J$6:J$7)-SUM(J$10:J$11)+IF(AND(OR('Company Information'!$C$12="District of Columbia",'Company Information'!$C$12="Massachusetts",'Company Information'!$C$12="Vermont"),SUM($H$6:$K$11,$H$15:$K$16,$H$38:$I$38)&lt;&gt;0),SUM(E$6:E$7)-SUM(E$8:E$11),0)</f>
        <v>0</v>
      </c>
      <c r="K12" s="406">
        <f>IFERROR(SUM(H$12:J$12)+H$17*MAX(0,J$50-H$50)+I$17*MAX(0,J$50-I$50),0)</f>
        <v>-5</v>
      </c>
      <c r="L12" s="453"/>
      <c r="M12" s="405">
        <f>SUM(M$6:M$7)</f>
        <v>12076107</v>
      </c>
      <c r="N12" s="406">
        <f>SUM(N$6:N$7)</f>
        <v>9708279</v>
      </c>
      <c r="O12" s="406">
        <f>SUM(O$6:O$7)</f>
        <v>10415240</v>
      </c>
      <c r="P12" s="406">
        <f>SUM(M$12:O$12)+M$17*MAX(0,O$50-M$50)+N$17*MAX(0,O$50-N$50)</f>
        <v>32199626</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39233</v>
      </c>
      <c r="D15" s="409">
        <v>3923</v>
      </c>
      <c r="E15" s="401">
        <f>SUM('Pt 1 Summary of Data'!E$5:E$7)+SUM('Pt 1 Summary of Data'!G$5:G$7)-SUM('Pt 1 Summary of Data'!H$5:H$7)-SUM(E$9:E$11)</f>
        <v>0</v>
      </c>
      <c r="F15" s="401">
        <f>SUM(C15:E15)</f>
        <v>43156</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16631131</v>
      </c>
      <c r="N15" s="409">
        <v>13110766</v>
      </c>
      <c r="O15" s="401">
        <f>SUM('Pt 1 Summary of Data'!Q$5:Q$7)+SUM('Pt 1 Summary of Data'!S$5:S$7)-SUM('Pt 1 Summary of Data'!T$5:T$7)+N$56</f>
        <v>13266331</v>
      </c>
      <c r="P15" s="401">
        <f>SUM(M15:O15)</f>
        <v>43008228</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13477</v>
      </c>
      <c r="D16" s="404">
        <v>1762</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82</v>
      </c>
      <c r="F16" s="406">
        <f>SUM(C16:E16)</f>
        <v>15321</v>
      </c>
      <c r="G16" s="407">
        <f>SUM('Pt 1 Summary of Data'!I$25:I$28,'Pt 1 Summary of Data'!I$30,'Pt 1 Summary of Data'!I$34:I$35)+IF('Company Information'!$C$15="No",IF(MAX('Pt 1 Summary of Data'!I$31:I$32)=0,MIN('Pt 1 Summary of Data'!I$31:I$32),MAX('Pt 1 Summary of Data'!I$31:I$32)),SUM('Pt 1 Summary of Data'!I$31:I$32))</f>
        <v>0</v>
      </c>
      <c r="H16" s="403">
        <v>1335</v>
      </c>
      <c r="I16" s="404">
        <v>355</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111</v>
      </c>
      <c r="K16" s="406">
        <f>SUM(H16:J16)</f>
        <v>1801</v>
      </c>
      <c r="L16" s="407">
        <f>SUM('Pt 1 Summary of Data'!O$25:O$28,'Pt 1 Summary of Data'!O$30,'Pt 1 Summary of Data'!O$34:O$35)+IF('Company Information'!$C$15="No",IF(MAX('Pt 1 Summary of Data'!O$31:O$32)=0,MIN('Pt 1 Summary of Data'!O$31:O$32),MAX('Pt 1 Summary of Data'!O$31:O$32)),SUM('Pt 1 Summary of Data'!O$31:O$32))</f>
        <v>0</v>
      </c>
      <c r="M16" s="403">
        <v>1218035</v>
      </c>
      <c r="N16" s="404">
        <v>1095150</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931080</v>
      </c>
      <c r="P16" s="406">
        <f>SUM(M16:O16)</f>
        <v>3244265</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25756</v>
      </c>
      <c r="D17" s="406">
        <f>D$15-D$16+IF(AND(OR('Company Information'!$C$12="District of Columbia",'Company Information'!$C$12="Massachusetts",'Company Information'!$C$12="Vermont"),SUM($C$6:$F$11,$C$15:$F$16,$C$38:$D$38)&lt;&gt;0),I$15-I$16,0)</f>
        <v>2161</v>
      </c>
      <c r="E17" s="406">
        <f>E$15-E$16+IF(AND(OR('Company Information'!$C$12="District of Columbia",'Company Information'!$C$12="Massachusetts",'Company Information'!$C$12="Vermont"),SUM($C$6:$F$11,$C$15:$F$16,$C$38:$D$38)&lt;&gt;0),J$15-J$16,0)</f>
        <v>-82</v>
      </c>
      <c r="F17" s="406">
        <f>F$15-F$16+IF(AND(OR('Company Information'!$C$12="District of Columbia",'Company Information'!$C$12="Massachusetts",'Company Information'!$C$12="Vermont"),SUM($C$6:$F$11,$C$15:$F$16,$C$38:$D$38)&lt;&gt;0),K$15-K$16,0)</f>
        <v>27835</v>
      </c>
      <c r="G17" s="456"/>
      <c r="H17" s="405">
        <f>H$15-H$16+IF(AND(OR('Company Information'!$C$12="District of Columbia",'Company Information'!$C$12="Massachusetts",'Company Information'!$C$12="Vermont"),SUM($H$6:$K$11,$H$15:$K$16,$H$38:$I$38)&lt;&gt;0),C$15-C$16,0)</f>
        <v>-1335</v>
      </c>
      <c r="I17" s="406">
        <f>I$15-I$16+IF(AND(OR('Company Information'!$C$12="District of Columbia",'Company Information'!$C$12="Massachusetts",'Company Information'!$C$12="Vermont"),SUM($H$6:$K$11,$H$15:$K$16,$H$38:$I$38)&lt;&gt;0),D$15-D$16,0)</f>
        <v>-355</v>
      </c>
      <c r="J17" s="406">
        <f>J$15-J$16+IF(AND(OR('Company Information'!$C$12="District of Columbia",'Company Information'!$C$12="Massachusetts",'Company Information'!$C$12="Vermont"),SUM($H$6:$K$11,$H$15:$K$16,$H$38:$I$38)&lt;&gt;0),E$15-E$16,0)</f>
        <v>-111</v>
      </c>
      <c r="K17" s="406">
        <f>K$15-K$16+IF(AND(OR('Company Information'!$C$12="District of Columbia",'Company Information'!$C$12="Massachusetts",'Company Information'!$C$12="Vermont"),SUM($H$6:$K$11,$H$15:$K$16,$H$38:$I$38)&lt;&gt;0),F$15-F$16,0)</f>
        <v>-1801</v>
      </c>
      <c r="L17" s="456"/>
      <c r="M17" s="405">
        <f>M$15-M$16</f>
        <v>15413096</v>
      </c>
      <c r="N17" s="406">
        <f>N$15-N$16</f>
        <v>12015616</v>
      </c>
      <c r="O17" s="406">
        <f>O$15-O$16</f>
        <v>12335251</v>
      </c>
      <c r="P17" s="406">
        <f>P$15-P$16</f>
        <v>39763963</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3</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3016</v>
      </c>
      <c r="N38" s="411">
        <v>2000</v>
      </c>
      <c r="O38" s="438">
        <f>('Pt 1 Summary of Data'!Q$59+'Pt 1 Summary of Data'!S$59-'Pt 1 Summary of Data'!T$59)/12</f>
        <v>1961.25</v>
      </c>
      <c r="P38" s="438">
        <f>SUM(M$38:O$38)</f>
        <v>6977.25</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0.78349651491173478</v>
      </c>
      <c r="N45" s="442">
        <f>IF(OR(N$38&lt;1000,N$17&lt;=0),"",N$12/N$17)</f>
        <v>0.80797180935209645</v>
      </c>
      <c r="O45" s="442">
        <f>IF(OR(O$38&lt;1000,O$17&lt;=0),"",O$12/O$17)</f>
        <v>0.84434763427189286</v>
      </c>
      <c r="P45" s="442">
        <f>IF(OR(P$38&lt;1000,P$17&lt;=0),"",P$12/P$17)</f>
        <v>0.80976903635082853</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0</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0.81</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0.81</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12335251</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493410.03999999905</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838</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12</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493410.03999999905</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493410.02</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588765</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1</v>
      </c>
      <c r="F18" s="112">
        <v>0</v>
      </c>
      <c r="G18" s="112">
        <v>0</v>
      </c>
      <c r="H18" s="112">
        <v>0</v>
      </c>
      <c r="I18" s="186"/>
      <c r="J18" s="186"/>
      <c r="K18" s="204"/>
    </row>
    <row r="19" spans="2:12" ht="25.5" x14ac:dyDescent="0.2">
      <c r="B19" s="122" t="s">
        <v>208</v>
      </c>
      <c r="C19" s="185"/>
      <c r="D19" s="112">
        <v>0</v>
      </c>
      <c r="E19" s="112">
        <v>1</v>
      </c>
      <c r="F19" s="194"/>
      <c r="G19" s="112">
        <v>0</v>
      </c>
      <c r="H19" s="112">
        <v>0</v>
      </c>
      <c r="I19" s="186"/>
      <c r="J19" s="186"/>
      <c r="K19" s="205"/>
    </row>
    <row r="20" spans="2:12" ht="25.5" x14ac:dyDescent="0.2">
      <c r="B20" s="122" t="s">
        <v>209</v>
      </c>
      <c r="C20" s="193">
        <v>0</v>
      </c>
      <c r="D20" s="112">
        <v>0</v>
      </c>
      <c r="E20" s="112">
        <v>1</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255.89</v>
      </c>
      <c r="F22" s="133">
        <v>0</v>
      </c>
      <c r="G22" s="133">
        <v>0</v>
      </c>
      <c r="H22" s="133">
        <v>0</v>
      </c>
      <c r="I22" s="187"/>
      <c r="J22" s="187"/>
      <c r="K22" s="206"/>
    </row>
    <row r="23" spans="2:12" s="11" customFormat="1" ht="100.15" customHeight="1" x14ac:dyDescent="0.2">
      <c r="B23" s="97" t="s">
        <v>212</v>
      </c>
      <c r="C23" s="2" t="s">
        <v>507</v>
      </c>
      <c r="D23" s="6"/>
      <c r="E23" s="6"/>
      <c r="F23" s="6"/>
      <c r="G23" s="6"/>
      <c r="H23" s="6"/>
      <c r="I23" s="6"/>
      <c r="J23" s="6"/>
      <c r="K23" s="5"/>
    </row>
    <row r="24" spans="2:12" s="11" customFormat="1" ht="100.15" customHeight="1" x14ac:dyDescent="0.2">
      <c r="B24" s="96"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2016-07-25T22:49:24Z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