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16" i="10"/>
  <c r="W16" i="10"/>
  <c r="T41" i="10"/>
  <c r="S16" i="10"/>
  <c r="T16" i="10" s="1"/>
  <c r="P41" i="10"/>
  <c r="P16" i="10"/>
  <c r="O38" i="10"/>
  <c r="O16" i="10"/>
  <c r="N17" i="10"/>
  <c r="N45" i="10" s="1"/>
  <c r="N12" i="10"/>
  <c r="M45" i="10"/>
  <c r="M17" i="10"/>
  <c r="M12" i="10"/>
  <c r="L60" i="10"/>
  <c r="L59" i="10"/>
  <c r="L58" i="10" s="1"/>
  <c r="L36" i="10"/>
  <c r="L35" i="10"/>
  <c r="L16" i="10"/>
  <c r="L10" i="10"/>
  <c r="K41" i="10"/>
  <c r="K16" i="10"/>
  <c r="J16" i="10"/>
  <c r="J11" i="10"/>
  <c r="K11" i="10" s="1"/>
  <c r="J10" i="10"/>
  <c r="K10" i="10" s="1"/>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13"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G15" i="10" s="1"/>
  <c r="H60" i="4"/>
  <c r="H22" i="4"/>
  <c r="H12" i="4"/>
  <c r="H5" i="4"/>
  <c r="G60" i="4"/>
  <c r="G22" i="4"/>
  <c r="G12" i="4"/>
  <c r="G5" i="4"/>
  <c r="F60" i="4"/>
  <c r="F22" i="4"/>
  <c r="F12" i="4"/>
  <c r="F5" i="4"/>
  <c r="E60" i="4"/>
  <c r="E22" i="4"/>
  <c r="E12" i="4"/>
  <c r="E6" i="10" s="1"/>
  <c r="E5" i="4"/>
  <c r="D60" i="4"/>
  <c r="D22" i="4"/>
  <c r="D12" i="4"/>
  <c r="D5" i="4"/>
  <c r="F6" i="10" l="1"/>
  <c r="G20" i="10"/>
  <c r="K6" i="10"/>
  <c r="O12" i="10"/>
  <c r="P12" i="10" s="1"/>
  <c r="P6" i="10"/>
  <c r="U17" i="10"/>
  <c r="W38" i="10"/>
  <c r="U13" i="10"/>
  <c r="V13" i="10"/>
  <c r="X6" i="10"/>
  <c r="V17" i="10" s="1"/>
  <c r="V46" i="10" s="1"/>
  <c r="AA13" i="10"/>
  <c r="AB42" i="10"/>
  <c r="G24" i="10"/>
  <c r="T6" i="10"/>
  <c r="E7" i="10"/>
  <c r="F7" i="10" s="1"/>
  <c r="G27" i="10"/>
  <c r="J15" i="10"/>
  <c r="P15" i="10"/>
  <c r="P17" i="10" s="1"/>
  <c r="O17" i="10"/>
  <c r="O45" i="10" s="1"/>
  <c r="X15" i="10"/>
  <c r="L15" i="10"/>
  <c r="L20" i="10" s="1"/>
  <c r="L19" i="10"/>
  <c r="E15" i="10"/>
  <c r="J7" i="10"/>
  <c r="K7" i="10" s="1"/>
  <c r="O7" i="10"/>
  <c r="P7" i="10" s="1"/>
  <c r="S15" i="10"/>
  <c r="W7" i="10"/>
  <c r="X7" i="10" s="1"/>
  <c r="AA15" i="10"/>
  <c r="P38" i="10"/>
  <c r="G7" i="10"/>
  <c r="G19" i="10" s="1"/>
  <c r="G22" i="10" s="1"/>
  <c r="G30" i="10" l="1"/>
  <c r="P53" i="10"/>
  <c r="E11" i="16" s="1"/>
  <c r="P39" i="10"/>
  <c r="P52" i="10"/>
  <c r="P45" i="10"/>
  <c r="P42" i="10"/>
  <c r="AA17" i="10"/>
  <c r="AA46" i="10" s="1"/>
  <c r="AB39" i="10" s="1"/>
  <c r="AB15" i="10"/>
  <c r="AB17" i="10" s="1"/>
  <c r="S38" i="10"/>
  <c r="W17" i="10"/>
  <c r="K15" i="10"/>
  <c r="G32" i="10"/>
  <c r="D17" i="10"/>
  <c r="D45" i="10" s="1"/>
  <c r="S17" i="10"/>
  <c r="T15" i="10"/>
  <c r="T17" i="10" s="1"/>
  <c r="W46" i="10"/>
  <c r="X38" i="10"/>
  <c r="L32" i="10"/>
  <c r="L27" i="10"/>
  <c r="L23" i="10"/>
  <c r="L24" i="10"/>
  <c r="L22" i="10"/>
  <c r="X13" i="10"/>
  <c r="U46" i="10"/>
  <c r="G31" i="10"/>
  <c r="G29" i="10" s="1"/>
  <c r="G33" i="10" s="1"/>
  <c r="G34" i="10" s="1"/>
  <c r="E17" i="10"/>
  <c r="F15" i="10"/>
  <c r="E38" i="10" s="1"/>
  <c r="Q13" i="10"/>
  <c r="X17" i="10"/>
  <c r="G23" i="10"/>
  <c r="G21" i="10" s="1"/>
  <c r="G26" i="10" s="1"/>
  <c r="G25" i="10" s="1"/>
  <c r="G28" i="10" s="1"/>
  <c r="W13" i="10"/>
  <c r="I17" i="10"/>
  <c r="I45" i="10" s="1"/>
  <c r="E45" i="10" l="1"/>
  <c r="F38" i="10"/>
  <c r="K17" i="10"/>
  <c r="H12" i="10"/>
  <c r="H17" i="10"/>
  <c r="J12" i="10"/>
  <c r="S46" i="10"/>
  <c r="T38" i="10"/>
  <c r="I12" i="10"/>
  <c r="R17" i="10"/>
  <c r="R46" i="10" s="1"/>
  <c r="X53" i="10"/>
  <c r="G11" i="16" s="1"/>
  <c r="X39" i="10"/>
  <c r="X52" i="10"/>
  <c r="X46" i="10"/>
  <c r="X42" i="10"/>
  <c r="J17" i="10"/>
  <c r="AB46" i="10"/>
  <c r="AB53" i="10"/>
  <c r="H11" i="16" s="1"/>
  <c r="P47" i="10"/>
  <c r="P48" i="10"/>
  <c r="P51" i="10" s="1"/>
  <c r="Q17" i="10"/>
  <c r="L21" i="10"/>
  <c r="L26" i="10" s="1"/>
  <c r="L25" i="10" s="1"/>
  <c r="L28" i="10" s="1"/>
  <c r="L30" i="10"/>
  <c r="L31" i="10" s="1"/>
  <c r="L29" i="10" s="1"/>
  <c r="L33" i="10" s="1"/>
  <c r="L34" i="10" s="1"/>
  <c r="J38" i="10"/>
  <c r="F17" i="10"/>
  <c r="C12" i="10"/>
  <c r="E12" i="10"/>
  <c r="D12" i="10"/>
  <c r="S13" i="10"/>
  <c r="R13" i="10"/>
  <c r="C17" i="10"/>
  <c r="AB48" i="10" l="1"/>
  <c r="AB51" i="10" s="1"/>
  <c r="AB47" i="10"/>
  <c r="J45" i="10"/>
  <c r="K38" i="10"/>
  <c r="C45" i="10"/>
  <c r="F39" i="10" s="1"/>
  <c r="F12" i="10"/>
  <c r="Q46" i="10"/>
  <c r="T13" i="10"/>
  <c r="K12" i="10"/>
  <c r="H45" i="10"/>
  <c r="T42" i="10"/>
  <c r="T53" i="10"/>
  <c r="F11" i="16" s="1"/>
  <c r="T39" i="10"/>
  <c r="T46" i="10"/>
  <c r="T52" i="10"/>
  <c r="X47" i="10"/>
  <c r="X48" i="10"/>
  <c r="X51" i="10" s="1"/>
  <c r="F42" i="10"/>
  <c r="F53" i="10"/>
  <c r="C11" i="16" s="1"/>
  <c r="F45" i="10"/>
  <c r="F52" i="10"/>
  <c r="T48" i="10" l="1"/>
  <c r="T51" i="10" s="1"/>
  <c r="T47" i="10"/>
  <c r="K53" i="10"/>
  <c r="D11" i="16" s="1"/>
  <c r="K39" i="10"/>
  <c r="K42" i="10"/>
  <c r="K45" i="10"/>
  <c r="K52" i="10"/>
  <c r="F47" i="10"/>
  <c r="F48" i="10"/>
  <c r="F51" i="10" s="1"/>
  <c r="K47" i="10" l="1"/>
  <c r="K48" i="10"/>
  <c r="K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<sst xmlns="http://schemas.openxmlformats.org/spreadsheetml/2006/main" count="570" uniqueCount="508">
  <si>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</si>
  <si>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</si>
  <si>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</si>
  <si>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</si>
  <si>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</si>
  <si>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</si>
  <si>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</si>
  <si>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</si>
  <si>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</si>
  <si>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</si>
  <si>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</si>
  <si>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</si>
  <si>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</si>
  <si>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</si>
  <si>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</si>
  <si>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</si>
  <si>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</si>
  <si>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</si>
  <si>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</si>
  <si>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</si>
  <si>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</si>
  <si>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</si>
  <si>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</si>
  <si>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</si>
  <si>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</si>
  <si>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</si>
  <si>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</si>
  <si>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</si>
  <si>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</si>
  <si>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</si>
  <si>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</si>
  <si>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</si>
  <si>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</si>
  <si>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</si>
  <si>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</si>
  <si>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</si>
  <si>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</si>
  <si>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</si>
  <si>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</si>
  <si>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</si>
  <si>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</si>
  <si>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</si>
  <si>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</si>
  <si>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</si>
  <si>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</si>
  <si>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</si>
  <si>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</si>
  <si>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</si>
  <si>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</si>
  <si>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</si>
  <si>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</si>
  <si>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</si>
  <si>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</si>
  <si>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</si>
  <si>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</si>
  <si>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</si>
  <si>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</si>
  <si>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</si>
  <si>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</si>
  <si>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</si>
  <si>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</si>
  <si>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</si>
  <si>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</si>
  <si>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</si>
  <si>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</si>
  <si>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</si>
  <si>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</si>
  <si>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</si>
  <si>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</si>
  <si>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</si>
  <si>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</si>
  <si>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</si>
  <si>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</si>
  <si>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</si>
  <si>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</si>
  <si>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</si>
  <si>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</si>
  <si>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</si>
  <si>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</si>
  <si>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</si>
  <si>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</si>
  <si>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</si>
  <si>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</si>
  <si>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</si>
  <si>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</si>
  <si>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</si>
  <si>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</si>
  <si>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</si>
  <si>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</si>
  <si>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</si>
  <si>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</si>
  <si>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</si>
  <si>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</si>
  <si>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</si>
  <si>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</si>
  <si>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</si>
  <si>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</si>
  <si>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</si>
  <si>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</si>
  <si>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</si>
  <si>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</si>
  <si>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</si>
  <si>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</si>
  <si>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</si>
  <si>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</si>
  <si>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</si>
  <si>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</si>
  <si>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</si>
  <si>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</si>
  <si>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</si>
  <si>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</si>
  <si>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</si>
  <si>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</si>
  <si>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</si>
  <si>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</si>
  <si>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</si>
  <si>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</si>
  <si>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</si>
  <si>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</si>
  <si>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</si>
  <si>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</si>
  <si>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</si>
  <si>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</si>
  <si>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</si>
  <si>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</si>
  <si>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</si>
  <si>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</si>
  <si>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</si>
  <si>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</si>
  <si>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</si>
  <si>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</si>
  <si>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</si>
  <si>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</si>
  <si>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</si>
  <si>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</si>
  <si>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</si>
  <si>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</si>
  <si>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</si>
  <si>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</si>
  <si>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</si>
  <si>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</si>
  <si>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</si>
  <si>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</si>
  <si>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</si>
  <si>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</si>
  <si>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</si>
  <si>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</si>
  <si>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</si>
  <si>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</si>
  <si>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</si>
  <si>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</si>
  <si>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</si>
  <si>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</si>
  <si>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</si>
  <si>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</si>
  <si>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</si>
  <si>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</si>
  <si>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</si>
  <si>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</si>
  <si>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</si>
  <si>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</si>
  <si>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</si>
  <si>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</si>
  <si>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</si>
  <si>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</si>
  <si>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</si>
  <si>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</si>
  <si>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</si>
  <si>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</si>
  <si>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</si>
  <si>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</si>
  <si>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</si>
  <si>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</si>
  <si>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</si>
  <si>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</si>
  <si>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</si>
  <si>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</si>
  <si>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</si>
  <si>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</si>
  <si>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</si>
  <si>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</si>
  <si>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</si>
  <si>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</si>
  <si>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</si>
  <si>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</si>
  <si>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</si>
  <si>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</si>
  <si>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</si>
  <si>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</si>
  <si>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</si>
  <si>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</si>
  <si>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</si>
  <si>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</si>
  <si>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</si>
  <si>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</si>
  <si>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</si>
  <si>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</si>
  <si>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</si>
  <si>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</si>
  <si>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</si>
  <si>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</si>
  <si>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</si>
  <si>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</si>
  <si>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</si>
  <si>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</si>
  <si>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</si>
  <si>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</si>
  <si>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</si>
  <si>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</si>
  <si>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</si>
  <si>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</si>
  <si>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</si>
  <si>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</si>
  <si>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</si>
  <si>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</si>
  <si>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</si>
  <si>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</si>
  <si>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</si>
  <si>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</si>
  <si>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</si>
  <si>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</si>
  <si>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</si>
  <si>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</si>
  <si>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</si>
  <si>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</si>
  <si>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</si>
  <si>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</si>
  <si>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</si>
  <si>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</si>
  <si>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</si>
  <si>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</si>
  <si>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</si>
  <si>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</si>
  <si>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</si>
  <si>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</si>
  <si>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</si>
  <si>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</si>
  <si>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</si>
  <si>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</si>
  <si>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</si>
  <si>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</si>
  <si>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</si>
  <si>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</si>
  <si>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</si>
  <si>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</si>
  <si>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</si>
  <si>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</si>
  <si>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</si>
  <si>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</si>
  <si>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</si>
  <si>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</si>
  <si>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</si>
  <si>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</si>
  <si>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</si>
  <si>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</si>
  <si>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</si>
  <si>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</si>
  <si>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</si>
  <si>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</si>
  <si>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</si>
  <si>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</si>
  <si>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</si>
  <si>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</si>
  <si>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</si>
  <si>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</si>
  <si>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</si>
  <si>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</si>
  <si>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</si>
  <si>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</si>
  <si>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</si>
  <si>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</si>
  <si>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</si>
  <si>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</si>
  <si>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</si>
  <si>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</si>
  <si>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</si>
  <si>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</si>
  <si>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</si>
  <si>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</si>
  <si>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</si>
  <si>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</si>
  <si>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</si>
  <si>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</si>
  <si>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</si>
  <si>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</si>
  <si>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</si>
  <si>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</si>
  <si>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</si>
  <si>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</si>
  <si>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</si>
  <si>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</si>
  <si>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</si>
  <si>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</si>
  <si>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</si>
  <si>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</si>
  <si>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</si>
  <si>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</si>
  <si>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</si>
  <si>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</si>
  <si>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</si>
  <si>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</si>
  <si>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</si>
  <si>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</si>
  <si>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</si>
  <si>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</si>
  <si>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</si>
  <si>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</si>
  <si>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</si>
  <si>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</si>
  <si>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</si>
  <si>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</si>
  <si>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</si>
  <si>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</si>
  <si>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</si>
  <si>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</si>
  <si>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</si>
  <si>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</si>
  <si>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</si>
  <si>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</si>
  <si>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</si>
  <si>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</si>
  <si>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</si>
  <si>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</si>
  <si>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</si>
  <si>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</si>
  <si>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</si>
  <si>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</si>
  <si>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</si>
  <si>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</si>
  <si>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</si>
  <si>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</si>
  <si>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</si>
  <si>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</si>
  <si>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</si>
  <si>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</si>
  <si>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</si>
  <si>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</si>
  <si>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</si>
  <si>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</si>
  <si>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</si>
  <si>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</si>
  <si>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</si>
  <si>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</si>
  <si>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</si>
  <si>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</si>
  <si>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</si>
  <si>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</si>
  <si>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</si>
  <si>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</si>
  <si>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</si>
  <si>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</si>
  <si>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</si>
  <si>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</si>
  <si>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</si>
  <si>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</si>
  <si>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</si>
  <si>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</si>
  <si>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</si>
  <si>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</si>
  <si>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</si>
  <si>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</si>
  <si>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</si>
  <si>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</si>
  <si>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</si>
  <si>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</si>
  <si>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</si>
  <si>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</si>
  <si>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</si>
  <si>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</si>
  <si>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</si>
  <si>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</si>
  <si>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</si>
  <si>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</si>
  <si>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</si>
  <si>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</si>
  <si>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</si>
  <si>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</si>
  <si>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</si>
  <si>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</si>
  <si>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</si>
  <si>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</si>
  <si>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</si>
  <si>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</si>
  <si>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</si>
  <si>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</si>
  <si>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</si>
  <si>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</si>
  <si>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</si>
  <si>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</si>
  <si>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</si>
  <si>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</si>
  <si>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</si>
  <si>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</si>
  <si>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</si>
  <si>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</si>
  <si>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</si>
  <si>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</si>
  <si>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</si>
  <si>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</si>
  <si>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</si>
  <si>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</si>
  <si>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</si>
  <si>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</si>
  <si>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</si>
  <si>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</si>
  <si>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</si>
  <si>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</si>
  <si>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</si>
  <si>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</si>
  <si>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</si>
  <si>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</si>
  <si>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</si>
  <si>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</si>
  <si>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</si>
  <si>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</si>
  <si>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</si>
  <si>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</si>
  <si>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</si>
  <si>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</si>
  <si>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</si>
  <si>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</si>
  <si>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</si>
  <si>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</si>
  <si>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</si>
  <si>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</si>
  <si>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</si>
  <si>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</si>
  <si>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</si>
  <si>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</si>
  <si>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</si>
  <si>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</si>
  <si>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</si>
  <si>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</si>
  <si>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</si>
  <si>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</si>
  <si>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</si>
  <si>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</si>
  <si>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</si>
  <si>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</si>
  <si>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</si>
  <si>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</si>
  <si>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</si>
  <si>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</si>
  <si>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</si>
  <si>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</si>
  <si>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</si>
  <si>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</si>
  <si>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</si>
  <si>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</si>
  <si>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</si>
  <si>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</si>
  <si>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</si>
  <si>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</si>
  <si>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</si>
  <si>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</si>
  <si>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</si>
  <si>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</si>
  <si>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</si>
  <si>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</si>
  <si>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</si>
  <si>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</si>
  <si>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</si>
  <si>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</si>
  <si>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</si>
  <si>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</si>
  <si>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</si>
  <si>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</si>
  <si>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</si>
  <si>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</si>
  <si>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</si>
  <si>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</si>
  <si>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</si>
  <si>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</si>
  <si>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</si>
  <si>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</si>
  <si>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</si>
  <si>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</si>
  <si>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</si>
  <si>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</si>
  <si>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</si>
  <si>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</si>
  <si>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</si>
  <si>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</si>
  <si>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</si>
  <si>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</si>
  <si>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</si>
  <si>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</si>
  <si>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</si>
  <si>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</si>
  <si>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</si>
  <si>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</si>
  <si>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</si>
  <si>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</si>
  <si>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</si>
  <si>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</si>
  <si>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</si>
  <si>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South Carolina, Inc.</t>
  </si>
  <si>
    <t>Cigna Hlth Grp</t>
  </si>
  <si>
    <t>N/A</t>
  </si>
  <si>
    <t>00901</t>
  </si>
  <si>
    <t>2015</t>
  </si>
  <si>
    <t>4000 Faber Place Drive, Suite # 220 North Charleston, SC 29405</t>
  </si>
  <si>
    <t>061185590</t>
  </si>
  <si>
    <t>068594</t>
  </si>
  <si>
    <t>95708</t>
  </si>
  <si>
    <t>73033</t>
  </si>
  <si>
    <t>107</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</si>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</sst>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183</v>
      </c>
    </row>
    <row r="13" spans="1:6" x14ac:dyDescent="0.2">
      <c r="B13" s="153" t="s">
        <v>50</v>
      </c>
      <c r="C13" s="486" t="s">
        <v>183</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206101</v>
      </c>
      <c r="Q5" s="219">
        <f>SUM('Pt 2 Premium and Claims'!Q$5,'Pt 2 Premium and Claims'!Q$6,-'Pt 2 Premium and Claims'!Q$7,-'Pt 2 Premium and Claims'!Q$13,'Pt 2 Premium and Claims'!Q$14)</f>
        <v>205887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80017747.269999996</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-2138</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-59</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-5484</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135362</v>
      </c>
      <c r="Q12" s="219">
        <f>'Pt 2 Premium and Claims'!Q$54</f>
        <v>120221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67728392.659999996</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21467</v>
      </c>
      <c r="Q13" s="223">
        <v>21463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11146331.560000001</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3360390.57</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-65</v>
      </c>
      <c r="E25" s="223">
        <v>-65</v>
      </c>
      <c r="F25" s="223"/>
      <c r="G25" s="223"/>
      <c r="H25" s="223"/>
      <c r="I25" s="222">
        <v>0</v>
      </c>
      <c r="J25" s="222">
        <v>-6061</v>
      </c>
      <c r="K25" s="223">
        <v>-6061</v>
      </c>
      <c r="L25" s="223"/>
      <c r="M25" s="223"/>
      <c r="N25" s="223"/>
      <c r="O25" s="222"/>
      <c r="P25" s="222">
        <v>-244</v>
      </c>
      <c r="Q25" s="223">
        <v>-244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2363</v>
      </c>
      <c r="AU25" s="226">
        <v>32972</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642</v>
      </c>
      <c r="Q26" s="223">
        <v>642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4880</v>
      </c>
      <c r="Q27" s="223">
        <v>4880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1367429.17</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756</v>
      </c>
      <c r="Q28" s="223">
        <v>756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114</v>
      </c>
      <c r="E30" s="223">
        <v>114</v>
      </c>
      <c r="F30" s="223"/>
      <c r="G30" s="223"/>
      <c r="H30" s="223"/>
      <c r="I30" s="222">
        <v>0</v>
      </c>
      <c r="J30" s="222">
        <v>10574</v>
      </c>
      <c r="K30" s="223">
        <v>10574</v>
      </c>
      <c r="L30" s="223"/>
      <c r="M30" s="223"/>
      <c r="N30" s="223"/>
      <c r="O30" s="222"/>
      <c r="P30" s="222">
        <v>1133</v>
      </c>
      <c r="Q30" s="223">
        <v>1133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-4123</v>
      </c>
      <c r="AU30" s="226">
        <v>253432</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3</v>
      </c>
      <c r="Q31" s="223">
        <v>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1242</v>
      </c>
      <c r="Q34" s="223">
        <v>1242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1043</v>
      </c>
      <c r="Q35" s="223">
        <v>1043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3994</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127</v>
      </c>
      <c r="Q37" s="231">
        <v>137</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193715.14</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79</v>
      </c>
      <c r="Q38" s="223">
        <v>79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161429.28</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43</v>
      </c>
      <c r="Q39" s="223">
        <v>1027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96857.57</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57</v>
      </c>
      <c r="Q40" s="223">
        <v>57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64571.71</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74</v>
      </c>
      <c r="Q41" s="223">
        <v>74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129143.43</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v>
      </c>
      <c r="Q42" s="223">
        <v>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4777</v>
      </c>
      <c r="Q44" s="231">
        <v>6541</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643596.06000000006</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789</v>
      </c>
      <c r="Q45" s="223">
        <v>789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884708.86</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187</v>
      </c>
      <c r="Q46" s="223">
        <v>187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27801</v>
      </c>
      <c r="Q47" s="223">
        <v>27801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63</v>
      </c>
      <c r="Q49" s="223">
        <v>63</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1066</v>
      </c>
      <c r="Q50" s="223">
        <v>1066</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31059</v>
      </c>
      <c r="Q51" s="223">
        <v>31059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9760757.7799999993</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3</v>
      </c>
      <c r="Q53" s="223">
        <v>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3</v>
      </c>
      <c r="Q56" s="235">
        <v>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8838</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v>
      </c>
      <c r="Q57" s="238">
        <v>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8838</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5</v>
      </c>
      <c r="Q58" s="238">
        <v>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8838</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270</v>
      </c>
      <c r="Q59" s="238">
        <v>270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104348</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22.5</v>
      </c>
      <c r="Q60" s="241">
        <f>Q$59/12</f>
        <v>22.5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8695.6666666666661</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82064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4846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206096</v>
      </c>
      <c r="Q5" s="332">
        <v>205882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80017747.269999996</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-5</v>
      </c>
      <c r="Q13" s="325">
        <v>-5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-5484</v>
      </c>
      <c r="K23" s="368"/>
      <c r="L23" s="368"/>
      <c r="M23" s="368"/>
      <c r="N23" s="368"/>
      <c r="O23" s="370"/>
      <c r="P23" s="324">
        <v>127444</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65871814.909999996</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119142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26770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7722538.0099999998</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990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59</v>
      </c>
      <c r="E28" s="369"/>
      <c r="F28" s="369"/>
      <c r="G28" s="369"/>
      <c r="H28" s="369"/>
      <c r="I28" s="371"/>
      <c r="J28" s="324">
        <v>0</v>
      </c>
      <c r="K28" s="369"/>
      <c r="L28" s="369"/>
      <c r="M28" s="369"/>
      <c r="N28" s="369"/>
      <c r="O28" s="371"/>
      <c r="P28" s="324">
        <v>18941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5741038</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230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230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150</v>
      </c>
      <c r="Q36" s="325">
        <v>150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9</v>
      </c>
      <c r="Q45" s="325">
        <v>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173043.19</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369469.89</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337357</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1078270.3400000001</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748192</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-59</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-5484</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135362</v>
      </c>
      <c r="Q54" s="329">
        <f>Q24+Q27+Q31+Q35-Q36+Q39+Q42+Q45+Q46-Q49+Q51+Q52+Q53</f>
        <v>120221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67728392.659999996</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44656</v>
      </c>
      <c r="D6" s="404">
        <v>53</v>
      </c>
      <c r="E6" s="406">
        <f>SUM('Pt 1 Summary of Data'!E$12,'Pt 1 Summary of Data'!E$22)+SUM('Pt 1 Summary of Data'!G$12,'Pt 1 Summary of Data'!G$22)-SUM('Pt 1 Summary of Data'!H$12,'Pt 1 Summary of Data'!H$22)</f>
        <v>0</v>
      </c>
      <c r="F6" s="406">
        <f>SUM(C6:E6)</f>
        <v>44709</v>
      </c>
      <c r="G6" s="407">
        <f>SUM('Pt 1 Summary of Data'!I$12,'Pt 1 Summary of Data'!I$22)</f>
        <v>0</v>
      </c>
      <c r="H6" s="403">
        <v>2134</v>
      </c>
      <c r="I6" s="404">
        <v>-61</v>
      </c>
      <c r="J6" s="406">
        <f>SUM('Pt 1 Summary of Data'!K$12,'Pt 1 Summary of Data'!K$22)+SUM('Pt 1 Summary of Data'!M$12,'Pt 1 Summary of Data'!M$22)-SUM('Pt 1 Summary of Data'!N$12,'Pt 1 Summary of Data'!N$22)</f>
        <v>0</v>
      </c>
      <c r="K6" s="406">
        <f>SUM(H6:J6)</f>
        <v>2073</v>
      </c>
      <c r="L6" s="407">
        <f>SUM('Pt 1 Summary of Data'!O$12,'Pt 1 Summary of Data'!O$22)</f>
        <v>0</v>
      </c>
      <c r="M6" s="403">
        <v>618275</v>
      </c>
      <c r="N6" s="404">
        <v>477553</v>
      </c>
      <c r="O6" s="406">
        <f>SUM('Pt 1 Summary of Data'!Q$12,'Pt 1 Summary of Data'!Q$22)+SUM('Pt 1 Summary of Data'!S$12,'Pt 1 Summary of Data'!S$22)-SUM('Pt 1 Summary of Data'!T$12,'Pt 1 Summary of Data'!T$22)</f>
        <v>120221</v>
      </c>
      <c r="P6" s="406">
        <f>SUM(M6:O6)</f>
        <v>1216049</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81</v>
      </c>
      <c r="D7" s="404">
        <v>19</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100</v>
      </c>
      <c r="G7" s="407">
        <f>SUM('Pt 1 Summary of Data'!I$37:I$41)+MAX(0,MIN(VALUE('Pt 1 Summary of Data'!I$42),0.3%*('Pt 1 Summary of Data'!I$5-SUM(G$9:G$10))))</f>
        <v>0</v>
      </c>
      <c r="H7" s="403">
        <v>12</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12</v>
      </c>
      <c r="L7" s="407">
        <f>SUM('Pt 1 Summary of Data'!O$37:O$41)+MAX(0,MIN(VALUE('Pt 1 Summary of Data'!O$42),0.3%*('Pt 1 Summary of Data'!O$5-L$10)))</f>
        <v>0</v>
      </c>
      <c r="M7" s="403">
        <v>7030</v>
      </c>
      <c r="N7" s="404">
        <v>8902</v>
      </c>
      <c r="O7" s="406">
        <f>SUM('Pt 1 Summary of Data'!Q$37:Q$41)+SUM('Pt 1 Summary of Data'!S$37:S$41)-SUM('Pt 1 Summary of Data'!T$37:T$41)+MAX(0,MIN('Pt 1 Summary of Data'!Q$42+'Pt 1 Summary of Data'!S$42-'Pt 1 Summary of Data'!T$42,0.3%*('Pt 1 Summary of Data'!Q$5+'Pt 1 Summary of Data'!S$5-'Pt 1 Summary of Data'!T$5)))</f>
        <v>1375</v>
      </c>
      <c r="P7" s="406">
        <f>SUM(M7:O7)</f>
        <v>17307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44737</v>
      </c>
      <c r="D12" s="406">
        <f>SUM(D$6:D$7) - SUM(D$8:D$11)+IF(AND(OR('Company Information'!$C$12="District of Columbia",'Company Information'!$C$12="Massachusetts",'Company Information'!$C$12="Vermont"),SUM($C$6:$F$11,$C$15:$F$16,$C$38:$D$38)&lt;&gt;0),SUM(I$6:I$7) - SUM(I$10:I$11),0)</f>
        <v>72</v>
      </c>
      <c r="E12" s="406">
        <f>SUM(E$6:E$7)-SUM(E$8:E$11)+IF(AND(OR('Company Information'!$C$12="District of Columbia",'Company Information'!$C$12="Massachusetts",'Company Information'!$C$12="Vermont"),SUM($C$6:$F$11,$C$15:$F$16,$C$38:$D$38)&lt;&gt;0),SUM(J$6:J$7)-SUM(J$10:J$11),0)</f>
        <v>0</v>
      </c>
      <c r="F12" s="406">
        <f>IFERROR(SUM(C$12:E$12)+C$17*MAX(0,E$50-C$50)+D$17*MAX(0,E$50-D$50),0)</f>
        <v>44809</v>
      </c>
      <c r="G12" s="453"/>
      <c r="H12" s="405">
        <f>SUM(H$6:H$7)+IF(AND(OR('Company Information'!$C$12="District of Columbia",'Company Information'!$C$12="Massachusetts",'Company Information'!$C$12="Vermont"),SUM($H$6:$K$11,$H$15:$K$16,$H$38:$I$38)&lt;&gt;0),SUM(C$6:C$7),0)</f>
        <v>2146</v>
      </c>
      <c r="I12" s="406">
        <f>SUM(I$6:I$7) - SUM(I$10:I$11)+IF(AND(OR('Company Information'!$C$12="District of Columbia",'Company Information'!$C$12="Massachusetts",'Company Information'!$C$12="Vermont"),SUM($H$6:$K$11,$H$15:$K$16,$H$38:$I$38)&lt;&gt;0),SUM(D$6:D$7) - SUM(D$8:D$11),0)</f>
        <v>-61</v>
      </c>
      <c r="J12" s="406">
        <f>SUM(J$6:J$7)-SUM(J$10:J$11)+IF(AND(OR('Company Information'!$C$12="District of Columbia",'Company Information'!$C$12="Massachusetts",'Company Information'!$C$12="Vermont"),SUM($H$6:$K$11,$H$15:$K$16,$H$38:$I$38)&lt;&gt;0),SUM(E$6:E$7)-SUM(E$8:E$11),0)</f>
        <v>0</v>
      </c>
      <c r="K12" s="406">
        <f>IFERROR(SUM(H$12:J$12)+H$17*MAX(0,J$50-H$50)+I$17*MAX(0,J$50-I$50),0)</f>
        <v>2085</v>
      </c>
      <c r="L12" s="453"/>
      <c r="M12" s="405">
        <f>SUM(M$6:M$7)</f>
        <v>625305</v>
      </c>
      <c r="N12" s="406">
        <f>SUM(N$6:N$7)</f>
        <v>486455</v>
      </c>
      <c r="O12" s="406">
        <f>SUM(O$6:O$7)</f>
        <v>121596</v>
      </c>
      <c r="P12" s="406">
        <f>SUM(M$12:O$12)+M$17*MAX(0,O$50-M$50)+N$17*MAX(0,O$50-N$50)</f>
        <v>1233356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22378</v>
      </c>
      <c r="D15" s="409">
        <v>3380</v>
      </c>
      <c r="E15" s="401">
        <f>SUM('Pt 1 Summary of Data'!E$5:E$7)+SUM('Pt 1 Summary of Data'!G$5:G$7)-SUM('Pt 1 Summary of Data'!H$5:H$7)-SUM(E$9:E$11)</f>
        <v>0</v>
      </c>
      <c r="F15" s="401">
        <f>SUM(C15:E15)</f>
        <v>25758</v>
      </c>
      <c r="G15" s="402">
        <f>SUM('Pt 1 Summary of Data'!I$5:I$7)-SUM(G$9:G$10)</f>
        <v>0</v>
      </c>
      <c r="H15" s="408">
        <v>3019</v>
      </c>
      <c r="I15" s="409">
        <v>0</v>
      </c>
      <c r="J15" s="401">
        <f>SUM('Pt 1 Summary of Data'!K$5:K$7)+SUM('Pt 1 Summary of Data'!M$5:M$7)-SUM('Pt 1 Summary of Data'!N$5:N$7)-SUM(J$10:J$11)</f>
        <v>0</v>
      </c>
      <c r="K15" s="401">
        <f>SUM(H15:J15)</f>
        <v>3019</v>
      </c>
      <c r="L15" s="402">
        <f>SUM('Pt 1 Summary of Data'!O$5:O$7)-L$10</f>
        <v>0</v>
      </c>
      <c r="M15" s="408">
        <v>1486918</v>
      </c>
      <c r="N15" s="409">
        <v>1091310</v>
      </c>
      <c r="O15" s="401">
        <f>SUM('Pt 1 Summary of Data'!Q$5:Q$7)+SUM('Pt 1 Summary of Data'!S$5:S$7)-SUM('Pt 1 Summary of Data'!T$5:T$7)+N$56</f>
        <v>205886</v>
      </c>
      <c r="P15" s="401">
        <f>SUM(M15:O15)</f>
        <v>2784114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-6996</v>
      </c>
      <c r="D16" s="404">
        <v>1524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49</v>
      </c>
      <c r="F16" s="406">
        <f>SUM(C16:E16)</f>
        <v>-5423</v>
      </c>
      <c r="G16" s="407">
        <f>SUM('Pt 1 Summary of Data'!I$25:I$28,'Pt 1 Summary of Data'!I$30,'Pt 1 Summary of Data'!I$34:I$35)+IF('Company Information'!$C$15="No",IF(MAX('Pt 1 Summary of Data'!I$31:I$32)=0,MIN('Pt 1 Summary of Data'!I$31:I$32),MAX('Pt 1 Summary of Data'!I$31:I$32)),SUM('Pt 1 Summary of Data'!I$31:I$32))</f>
        <v>0</v>
      </c>
      <c r="H16" s="403">
        <v>2115</v>
      </c>
      <c r="I16" s="404">
        <v>2226</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4513</v>
      </c>
      <c r="K16" s="406">
        <f>SUM(H16:J16)</f>
        <v>8854</v>
      </c>
      <c r="L16" s="407">
        <f>SUM('Pt 1 Summary of Data'!O$25:O$28,'Pt 1 Summary of Data'!O$30,'Pt 1 Summary of Data'!O$34:O$35)+IF('Company Information'!$C$15="No",IF(MAX('Pt 1 Summary of Data'!O$31:O$32)=0,MIN('Pt 1 Summary of Data'!O$31:O$32),MAX('Pt 1 Summary of Data'!O$31:O$32)),SUM('Pt 1 Summary of Data'!O$31:O$32))</f>
        <v>0</v>
      </c>
      <c r="M16" s="403">
        <v>303891</v>
      </c>
      <c r="N16" s="404">
        <v>191662</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9455</v>
      </c>
      <c r="P16" s="406">
        <f>SUM(M16:O16)</f>
        <v>505008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29374</v>
      </c>
      <c r="D17" s="406">
        <f>D$15-D$16+IF(AND(OR('Company Information'!$C$12="District of Columbia",'Company Information'!$C$12="Massachusetts",'Company Information'!$C$12="Vermont"),SUM($C$6:$F$11,$C$15:$F$16,$C$38:$D$38)&lt;&gt;0),I$15-I$16,0)</f>
        <v>1856</v>
      </c>
      <c r="E17" s="406">
        <f>E$15-E$16+IF(AND(OR('Company Information'!$C$12="District of Columbia",'Company Information'!$C$12="Massachusetts",'Company Information'!$C$12="Vermont"),SUM($C$6:$F$11,$C$15:$F$16,$C$38:$D$38)&lt;&gt;0),J$15-J$16,0)</f>
        <v>-49</v>
      </c>
      <c r="F17" s="406">
        <f>F$15-F$16+IF(AND(OR('Company Information'!$C$12="District of Columbia",'Company Information'!$C$12="Massachusetts",'Company Information'!$C$12="Vermont"),SUM($C$6:$F$11,$C$15:$F$16,$C$38:$D$38)&lt;&gt;0),K$15-K$16,0)</f>
        <v>31181</v>
      </c>
      <c r="G17" s="456"/>
      <c r="H17" s="405">
        <f>H$15-H$16+IF(AND(OR('Company Information'!$C$12="District of Columbia",'Company Information'!$C$12="Massachusetts",'Company Information'!$C$12="Vermont"),SUM($H$6:$K$11,$H$15:$K$16,$H$38:$I$38)&lt;&gt;0),C$15-C$16,0)</f>
        <v>904</v>
      </c>
      <c r="I17" s="406">
        <f>I$15-I$16+IF(AND(OR('Company Information'!$C$12="District of Columbia",'Company Information'!$C$12="Massachusetts",'Company Information'!$C$12="Vermont"),SUM($H$6:$K$11,$H$15:$K$16,$H$38:$I$38)&lt;&gt;0),D$15-D$16,0)</f>
        <v>-2226</v>
      </c>
      <c r="J17" s="406">
        <f>J$15-J$16+IF(AND(OR('Company Information'!$C$12="District of Columbia",'Company Information'!$C$12="Massachusetts",'Company Information'!$C$12="Vermont"),SUM($H$6:$K$11,$H$15:$K$16,$H$38:$I$38)&lt;&gt;0),E$15-E$16,0)</f>
        <v>-4513</v>
      </c>
      <c r="K17" s="406">
        <f>K$15-K$16+IF(AND(OR('Company Information'!$C$12="District of Columbia",'Company Information'!$C$12="Massachusetts",'Company Information'!$C$12="Vermont"),SUM($H$6:$K$11,$H$15:$K$16,$H$38:$I$38)&lt;&gt;0),F$15-F$16,0)</f>
        <v>-5835</v>
      </c>
      <c r="L17" s="456"/>
      <c r="M17" s="405">
        <f>M$15-M$16</f>
        <v>1183027</v>
      </c>
      <c r="N17" s="406">
        <f>N$15-N$16</f>
        <v>899648</v>
      </c>
      <c r="O17" s="406">
        <f>O$15-O$16</f>
        <v>196431</v>
      </c>
      <c r="P17" s="406">
        <f>P$15-P$16</f>
        <v>2279106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191</v>
      </c>
      <c r="N38" s="411">
        <v>139</v>
      </c>
      <c r="O38" s="438">
        <f>('Pt 1 Summary of Data'!Q$59+'Pt 1 Summary of Data'!S$59-'Pt 1 Summary of Data'!T$59)/12</f>
        <v>22.5</v>
      </c>
      <c r="P38" s="438">
        <f>SUM(M$38:O$38)</f>
        <v>352.5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