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13" i="10"/>
  <c r="Y46" i="10"/>
  <c r="Y17" i="10"/>
  <c r="Y13" i="10"/>
  <c r="X41" i="10"/>
  <c r="X16" i="10"/>
  <c r="W16" i="10"/>
  <c r="T41" i="10"/>
  <c r="S16" i="10"/>
  <c r="T16" i="10" s="1"/>
  <c r="P41" i="10"/>
  <c r="P16" i="10"/>
  <c r="O38" i="10"/>
  <c r="O16" i="10"/>
  <c r="N17" i="10"/>
  <c r="N45" i="10" s="1"/>
  <c r="N12" i="10"/>
  <c r="M45" i="10"/>
  <c r="M17" i="10"/>
  <c r="M12" i="10"/>
  <c r="L60" i="10"/>
  <c r="L59" i="10"/>
  <c r="L58" i="10" s="1"/>
  <c r="L36" i="10"/>
  <c r="L35" i="10"/>
  <c r="L16" i="10"/>
  <c r="L10" i="10"/>
  <c r="K41" i="10"/>
  <c r="K16" i="10"/>
  <c r="J16" i="10"/>
  <c r="J11" i="10"/>
  <c r="K11" i="10" s="1"/>
  <c r="J10" i="10"/>
  <c r="K10" i="10" s="1"/>
  <c r="G60" i="10"/>
  <c r="G59" i="10"/>
  <c r="G58" i="10" s="1"/>
  <c r="G36" i="10"/>
  <c r="G35" i="10"/>
  <c r="G16" i="10"/>
  <c r="G10" i="10"/>
  <c r="G9" i="10"/>
  <c r="G8" i="10"/>
  <c r="F41" i="10"/>
  <c r="F16" i="10"/>
  <c r="E16" i="10"/>
  <c r="E11" i="10"/>
  <c r="F11" i="10" s="1"/>
  <c r="E10" i="10"/>
  <c r="F10" i="10" s="1"/>
  <c r="E9" i="10"/>
  <c r="F9" i="10" s="1"/>
  <c r="E8" i="10"/>
  <c r="F8" i="10" s="1"/>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C60" i="4"/>
  <c r="AC22" i="4"/>
  <c r="AC12" i="4"/>
  <c r="AC5" i="4"/>
  <c r="AB60" i="4"/>
  <c r="AB22" i="4"/>
  <c r="AB12" i="4"/>
  <c r="AA6" i="10" s="1"/>
  <c r="AB5" i="4"/>
  <c r="AA7" i="10" s="1"/>
  <c r="AB7" i="10" s="1"/>
  <c r="AA60" i="4"/>
  <c r="AA22" i="4"/>
  <c r="AA12" i="4"/>
  <c r="AA5" i="4"/>
  <c r="Z60" i="4"/>
  <c r="Z22" i="4"/>
  <c r="Z12" i="4"/>
  <c r="Z5" i="4"/>
  <c r="Y60" i="4"/>
  <c r="Y22" i="4"/>
  <c r="Y12" i="4"/>
  <c r="W6" i="10" s="1"/>
  <c r="Y5" i="4"/>
  <c r="W15" i="10" s="1"/>
  <c r="X60" i="4"/>
  <c r="X22" i="4"/>
  <c r="X12" i="4"/>
  <c r="X5" i="4"/>
  <c r="W60" i="4"/>
  <c r="W22" i="4"/>
  <c r="W12" i="4"/>
  <c r="W5" i="4"/>
  <c r="V60" i="4"/>
  <c r="V22" i="4"/>
  <c r="V12" i="4"/>
  <c r="S6" i="10" s="1"/>
  <c r="V5" i="4"/>
  <c r="S7" i="10" s="1"/>
  <c r="T7" i="10" s="1"/>
  <c r="U60" i="4"/>
  <c r="U22" i="4"/>
  <c r="U12" i="4"/>
  <c r="U5" i="4"/>
  <c r="T60" i="4"/>
  <c r="T22" i="4"/>
  <c r="T12" i="4"/>
  <c r="T5" i="4"/>
  <c r="S60" i="4"/>
  <c r="S22" i="4"/>
  <c r="S12" i="4"/>
  <c r="S5" i="4"/>
  <c r="R60" i="4"/>
  <c r="R22" i="4"/>
  <c r="R12" i="4"/>
  <c r="R5" i="4"/>
  <c r="Q60" i="4"/>
  <c r="Q22" i="4"/>
  <c r="Q12" i="4"/>
  <c r="O6" i="10" s="1"/>
  <c r="Q5" i="4"/>
  <c r="O15" i="10" s="1"/>
  <c r="P60" i="4"/>
  <c r="P22" i="4"/>
  <c r="P12" i="4"/>
  <c r="P5" i="4"/>
  <c r="O60" i="4"/>
  <c r="O22" i="4"/>
  <c r="O12" i="4"/>
  <c r="L6" i="10" s="1"/>
  <c r="O5" i="4"/>
  <c r="L7" i="10" s="1"/>
  <c r="N60" i="4"/>
  <c r="N22" i="4"/>
  <c r="N12" i="4"/>
  <c r="N5" i="4"/>
  <c r="M60" i="4"/>
  <c r="M22" i="4"/>
  <c r="M12" i="4"/>
  <c r="M5" i="4"/>
  <c r="L60" i="4"/>
  <c r="L22" i="4"/>
  <c r="L12" i="4"/>
  <c r="L5" i="4"/>
  <c r="K60" i="4"/>
  <c r="K22" i="4"/>
  <c r="K12" i="4"/>
  <c r="J6" i="10" s="1"/>
  <c r="K5" i="4"/>
  <c r="J60" i="4"/>
  <c r="J22" i="4"/>
  <c r="J12" i="4"/>
  <c r="J5" i="4"/>
  <c r="I60" i="4"/>
  <c r="I22" i="4"/>
  <c r="I12" i="4"/>
  <c r="G6" i="10" s="1"/>
  <c r="I5" i="4"/>
  <c r="H60" i="4"/>
  <c r="H22" i="4"/>
  <c r="H12" i="4"/>
  <c r="H5" i="4"/>
  <c r="G60" i="4"/>
  <c r="G22" i="4"/>
  <c r="G12" i="4"/>
  <c r="G5" i="4"/>
  <c r="F60" i="4"/>
  <c r="F22" i="4"/>
  <c r="F12" i="4"/>
  <c r="F5" i="4"/>
  <c r="E60" i="4"/>
  <c r="E22" i="4"/>
  <c r="E12" i="4"/>
  <c r="E6" i="10" s="1"/>
  <c r="E5" i="4"/>
  <c r="D60" i="4"/>
  <c r="D22" i="4"/>
  <c r="D12" i="4"/>
  <c r="D5" i="4"/>
  <c r="F6" i="10" l="1"/>
  <c r="G20" i="10"/>
  <c r="K6" i="10"/>
  <c r="L20" i="10"/>
  <c r="P6" i="10"/>
  <c r="W38" i="10"/>
  <c r="V13" i="10"/>
  <c r="X6" i="10"/>
  <c r="T6" i="10"/>
  <c r="AB6" i="10"/>
  <c r="AA13" i="10"/>
  <c r="Z46" i="10"/>
  <c r="AB13" i="10"/>
  <c r="E7" i="10"/>
  <c r="F7" i="10" s="1"/>
  <c r="G15" i="10"/>
  <c r="J15" i="10"/>
  <c r="P15" i="10"/>
  <c r="P17" i="10" s="1"/>
  <c r="O17" i="10"/>
  <c r="X15" i="10"/>
  <c r="W17" i="10"/>
  <c r="L15" i="10"/>
  <c r="L19" i="10"/>
  <c r="AB38" i="10"/>
  <c r="E15" i="10"/>
  <c r="J7" i="10"/>
  <c r="K7" i="10" s="1"/>
  <c r="O7" i="10"/>
  <c r="P7" i="10" s="1"/>
  <c r="S15" i="10"/>
  <c r="W7" i="10"/>
  <c r="X7" i="10" s="1"/>
  <c r="AA15" i="10"/>
  <c r="P38" i="10"/>
  <c r="G7" i="10"/>
  <c r="G19" i="10" s="1"/>
  <c r="H17" i="10" l="1"/>
  <c r="D12" i="10"/>
  <c r="K15" i="10"/>
  <c r="K17" i="10" s="1"/>
  <c r="J17" i="10"/>
  <c r="I17" i="10"/>
  <c r="I45" i="10" s="1"/>
  <c r="AA17" i="10"/>
  <c r="AA46" i="10" s="1"/>
  <c r="AB15" i="10"/>
  <c r="AB17" i="10" s="1"/>
  <c r="X17" i="10"/>
  <c r="G27" i="10"/>
  <c r="G23" i="10"/>
  <c r="G32" i="10"/>
  <c r="G24" i="10"/>
  <c r="G22" i="10"/>
  <c r="U13" i="10"/>
  <c r="U17" i="10"/>
  <c r="H12" i="10"/>
  <c r="J12" i="10"/>
  <c r="D17" i="10"/>
  <c r="D45" i="10" s="1"/>
  <c r="W46" i="10"/>
  <c r="X38" i="10"/>
  <c r="E17" i="10"/>
  <c r="F15" i="10"/>
  <c r="E12" i="10" s="1"/>
  <c r="V17" i="10"/>
  <c r="V46" i="10" s="1"/>
  <c r="J38" i="10"/>
  <c r="I12" i="10"/>
  <c r="E38" i="10"/>
  <c r="C17" i="10"/>
  <c r="P52" i="10"/>
  <c r="S17" i="10"/>
  <c r="T15" i="10"/>
  <c r="AB42" i="10"/>
  <c r="AB53" i="10"/>
  <c r="H11" i="16" s="1"/>
  <c r="AB39" i="10"/>
  <c r="AB52" i="10"/>
  <c r="AB46" i="10"/>
  <c r="L32" i="10"/>
  <c r="L27" i="10"/>
  <c r="L23" i="10"/>
  <c r="L24" i="10"/>
  <c r="L22" i="10"/>
  <c r="W13" i="10"/>
  <c r="O12" i="10"/>
  <c r="G21" i="10" l="1"/>
  <c r="G26" i="10" s="1"/>
  <c r="G25" i="10" s="1"/>
  <c r="G28" i="10" s="1"/>
  <c r="G30" i="10"/>
  <c r="G31" i="10" s="1"/>
  <c r="G29" i="10" s="1"/>
  <c r="G33" i="10" s="1"/>
  <c r="G34" i="10" s="1"/>
  <c r="O45" i="10"/>
  <c r="P39" i="10" s="1"/>
  <c r="P42" i="10" s="1"/>
  <c r="P12" i="10"/>
  <c r="P45" i="10" s="1"/>
  <c r="J45" i="10"/>
  <c r="K38" i="10"/>
  <c r="X13" i="10"/>
  <c r="U46" i="10"/>
  <c r="X39" i="10" s="1"/>
  <c r="AB48" i="10"/>
  <c r="AB51" i="10" s="1"/>
  <c r="AB47" i="10"/>
  <c r="C45" i="10"/>
  <c r="F12" i="10"/>
  <c r="L21" i="10"/>
  <c r="L26" i="10" s="1"/>
  <c r="L25" i="10" s="1"/>
  <c r="L28" i="10" s="1"/>
  <c r="L30" i="10"/>
  <c r="L31" i="10" s="1"/>
  <c r="L29" i="10" s="1"/>
  <c r="L33" i="10" s="1"/>
  <c r="L34" i="10" s="1"/>
  <c r="T17" i="10"/>
  <c r="R13" i="10"/>
  <c r="S13" i="10"/>
  <c r="Q17" i="10"/>
  <c r="R17" i="10"/>
  <c r="R46" i="10" s="1"/>
  <c r="Q13" i="10"/>
  <c r="S38" i="10"/>
  <c r="E45" i="10"/>
  <c r="F38" i="10"/>
  <c r="F17" i="10"/>
  <c r="C12" i="10"/>
  <c r="X53" i="10"/>
  <c r="G11" i="16" s="1"/>
  <c r="X52" i="10"/>
  <c r="X46" i="10"/>
  <c r="X42" i="10"/>
  <c r="K12" i="10"/>
  <c r="H45" i="10"/>
  <c r="P47" i="10" l="1"/>
  <c r="P48" i="10"/>
  <c r="P51" i="10" s="1"/>
  <c r="P53" i="10" s="1"/>
  <c r="E11" i="16" s="1"/>
  <c r="F42" i="10"/>
  <c r="F53" i="10"/>
  <c r="C11" i="16" s="1"/>
  <c r="F39" i="10"/>
  <c r="F52" i="10"/>
  <c r="F45" i="10"/>
  <c r="Q46" i="10"/>
  <c r="T13" i="10"/>
  <c r="K53" i="10"/>
  <c r="D11" i="16" s="1"/>
  <c r="K39" i="10"/>
  <c r="K42" i="10"/>
  <c r="K45" i="10"/>
  <c r="K52" i="10"/>
  <c r="X47" i="10"/>
  <c r="X48" i="10"/>
  <c r="X51" i="10" s="1"/>
  <c r="S46" i="10"/>
  <c r="T38" i="10"/>
  <c r="F47" i="10" l="1"/>
  <c r="F48" i="10"/>
  <c r="F51" i="10" s="1"/>
  <c r="T42" i="10"/>
  <c r="T53" i="10"/>
  <c r="F11" i="16" s="1"/>
  <c r="T39" i="10"/>
  <c r="T46" i="10"/>
  <c r="T52" i="10"/>
  <c r="K47" i="10"/>
  <c r="K48" i="10"/>
  <c r="K51" i="10" s="1"/>
  <c r="T48" i="10" l="1"/>
  <c r="T51" i="10" s="1"/>
  <c r="T47" i="10"/>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<sst xmlns="http://schemas.openxmlformats.org/spreadsheetml/2006/main" count="570" uniqueCount="509">
  <si>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</si>
  <si>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</si>
  <si>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</si>
  <si>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</si>
  <si>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</si>
  <si>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</si>
  <si>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</si>
  <si>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</si>
  <si>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</si>
  <si>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</si>
  <si>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</si>
  <si>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</si>
  <si>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</si>
  <si>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</si>
  <si>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</si>
  <si>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</si>
  <si>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</si>
  <si>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</si>
  <si>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</si>
  <si>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</si>
  <si>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</si>
  <si>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</si>
  <si>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</si>
  <si>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</si>
  <si>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</si>
  <si>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</si>
  <si>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</si>
  <si>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</si>
  <si>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</si>
  <si>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</si>
  <si>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</si>
  <si>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</si>
  <si>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</si>
  <si>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</si>
  <si>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</si>
  <si>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</si>
  <si>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</si>
  <si>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</si>
  <si>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</si>
  <si>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</si>
  <si>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</si>
  <si>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</si>
  <si>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</si>
  <si>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</si>
  <si>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</si>
  <si>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</si>
  <si>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</si>
  <si>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</si>
  <si>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</si>
  <si>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</si>
  <si>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</si>
  <si>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</si>
  <si>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</si>
  <si>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</si>
  <si>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</si>
  <si>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</si>
  <si>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</si>
  <si>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</si>
  <si>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</si>
  <si>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</si>
  <si>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</si>
  <si>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</si>
  <si>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</si>
  <si>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</si>
  <si>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</si>
  <si>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</si>
  <si>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</si>
  <si>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</si>
  <si>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</si>
  <si>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</si>
  <si>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</si>
  <si>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</si>
  <si>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</si>
  <si>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</si>
  <si>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</si>
  <si>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</si>
  <si>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</si>
  <si>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</si>
  <si>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</si>
  <si>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</si>
  <si>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</si>
  <si>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</si>
  <si>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</si>
  <si>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</si>
  <si>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</si>
  <si>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</si>
  <si>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</si>
  <si>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</si>
  <si>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</si>
  <si>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</si>
  <si>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</si>
  <si>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</si>
  <si>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</si>
  <si>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</si>
  <si>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</si>
  <si>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</si>
  <si>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</si>
  <si>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</si>
  <si>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</si>
  <si>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</si>
  <si>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</si>
  <si>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</si>
  <si>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</si>
  <si>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</si>
  <si>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</si>
  <si>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</si>
  <si>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</si>
  <si>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</si>
  <si>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</si>
  <si>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</si>
  <si>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</si>
  <si>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</si>
  <si>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</si>
  <si>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</si>
  <si>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</si>
  <si>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</si>
  <si>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</si>
  <si>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</si>
  <si>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</si>
  <si>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</si>
  <si>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</si>
  <si>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</si>
  <si>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</si>
  <si>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</si>
  <si>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</si>
  <si>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</si>
  <si>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</si>
  <si>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</si>
  <si>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</si>
  <si>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</si>
  <si>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</si>
  <si>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</si>
  <si>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</si>
  <si>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</si>
  <si>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</si>
  <si>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</si>
  <si>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</si>
  <si>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</si>
  <si>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</si>
  <si>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</si>
  <si>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</si>
  <si>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</si>
  <si>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</si>
  <si>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</si>
  <si>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</si>
  <si>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</si>
  <si>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</si>
  <si>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</si>
  <si>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</si>
  <si>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</si>
  <si>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</si>
  <si>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</si>
  <si>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</si>
  <si>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</si>
  <si>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</si>
  <si>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</si>
  <si>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</si>
  <si>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</si>
  <si>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</si>
  <si>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</si>
  <si>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</si>
  <si>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</si>
  <si>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</si>
  <si>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</si>
  <si>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</si>
  <si>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</si>
  <si>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</si>
  <si>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</si>
  <si>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</si>
  <si>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</si>
  <si>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</si>
  <si>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</si>
  <si>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</si>
  <si>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</si>
  <si>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</si>
  <si>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</si>
  <si>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</si>
  <si>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</si>
  <si>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</si>
  <si>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</si>
  <si>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</si>
  <si>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</si>
  <si>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</si>
  <si>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</si>
  <si>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</si>
  <si>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</si>
  <si>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</si>
  <si>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</si>
  <si>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</si>
  <si>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</si>
  <si>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</si>
  <si>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</si>
  <si>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</si>
  <si>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</si>
  <si>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</si>
  <si>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</si>
  <si>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</si>
  <si>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</si>
  <si>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</si>
  <si>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</si>
  <si>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</si>
  <si>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</si>
  <si>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</si>
  <si>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</si>
  <si>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</si>
  <si>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</si>
  <si>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</si>
  <si>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</si>
  <si>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</si>
  <si>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</si>
  <si>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</si>
  <si>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</si>
  <si>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</si>
  <si>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</si>
  <si>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</si>
  <si>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</si>
  <si>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</si>
  <si>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</si>
  <si>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</si>
  <si>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</si>
  <si>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</si>
  <si>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</si>
  <si>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</si>
  <si>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</si>
  <si>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</si>
  <si>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</si>
  <si>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</si>
  <si>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</si>
  <si>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</si>
  <si>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</si>
  <si>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</si>
  <si>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</si>
  <si>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</si>
  <si>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</si>
  <si>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</si>
  <si>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</si>
  <si>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</si>
  <si>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</si>
  <si>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</si>
  <si>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</si>
  <si>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</si>
  <si>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</si>
  <si>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</si>
  <si>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</si>
  <si>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</si>
  <si>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</si>
  <si>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</si>
  <si>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</si>
  <si>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</si>
  <si>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</si>
  <si>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</si>
  <si>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</si>
  <si>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</si>
  <si>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</si>
  <si>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</si>
  <si>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</si>
  <si>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</si>
  <si>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</si>
  <si>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</si>
  <si>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</si>
  <si>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</si>
  <si>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</si>
  <si>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</si>
  <si>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</si>
  <si>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</si>
  <si>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</si>
  <si>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</si>
  <si>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</si>
  <si>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</si>
  <si>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</si>
  <si>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</si>
  <si>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</si>
  <si>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</si>
  <si>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</si>
  <si>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</si>
  <si>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</si>
  <si>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</si>
  <si>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</si>
  <si>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</si>
  <si>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</si>
  <si>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</si>
  <si>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</si>
  <si>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</si>
  <si>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</si>
  <si>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</si>
  <si>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</si>
  <si>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</si>
  <si>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</si>
  <si>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</si>
  <si>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</si>
  <si>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</si>
  <si>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</si>
  <si>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</si>
  <si>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</si>
  <si>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</si>
  <si>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</si>
  <si>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</si>
  <si>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</si>
  <si>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</si>
  <si>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</si>
  <si>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</si>
  <si>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</si>
  <si>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</si>
  <si>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</si>
  <si>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</si>
  <si>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</si>
  <si>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</si>
  <si>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</si>
  <si>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</si>
  <si>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</si>
  <si>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</si>
  <si>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</si>
  <si>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</si>
  <si>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</si>
  <si>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</si>
  <si>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</si>
  <si>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</si>
  <si>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</si>
  <si>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</si>
  <si>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</si>
  <si>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</si>
  <si>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</si>
  <si>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</si>
  <si>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</si>
  <si>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</si>
  <si>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</si>
  <si>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</si>
  <si>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</si>
  <si>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</si>
  <si>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</si>
  <si>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</si>
  <si>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</si>
  <si>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</si>
  <si>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</si>
  <si>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</si>
  <si>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</si>
  <si>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</si>
  <si>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</si>
  <si>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</si>
  <si>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</si>
  <si>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</si>
  <si>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</si>
  <si>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</si>
  <si>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</si>
  <si>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</si>
  <si>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</si>
  <si>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</si>
  <si>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</si>
  <si>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</si>
  <si>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</si>
  <si>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</si>
  <si>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</si>
  <si>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</si>
  <si>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</si>
  <si>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</si>
  <si>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</si>
  <si>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</si>
  <si>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</si>
  <si>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</si>
  <si>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</si>
  <si>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</si>
  <si>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</si>
  <si>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</si>
  <si>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</si>
  <si>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</si>
  <si>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</si>
  <si>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</si>
  <si>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</si>
  <si>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</si>
  <si>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</si>
  <si>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</si>
  <si>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</si>
  <si>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</si>
  <si>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</si>
  <si>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</si>
  <si>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</si>
  <si>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</si>
  <si>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</si>
  <si>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</si>
  <si>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</si>
  <si>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</si>
  <si>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</si>
  <si>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</si>
  <si>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</si>
  <si>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</si>
  <si>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</si>
  <si>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</si>
  <si>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</si>
  <si>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</si>
  <si>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</si>
  <si>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</si>
  <si>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</si>
  <si>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</si>
  <si>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</si>
  <si>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</si>
  <si>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</si>
  <si>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</si>
  <si>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</si>
  <si>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</si>
  <si>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</si>
  <si>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</si>
  <si>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</si>
  <si>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</si>
  <si>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</si>
  <si>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</si>
  <si>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</si>
  <si>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</si>
  <si>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</si>
  <si>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</si>
  <si>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</si>
  <si>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</si>
  <si>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</si>
  <si>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</si>
  <si>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</si>
  <si>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</si>
  <si>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</si>
  <si>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</si>
  <si>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</si>
  <si>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</si>
  <si>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</si>
  <si>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</si>
  <si>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</si>
  <si>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</si>
  <si>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</si>
  <si>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</si>
  <si>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</si>
  <si>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</si>
  <si>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</si>
  <si>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</si>
  <si>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</si>
  <si>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</si>
  <si>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</si>
  <si>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</si>
  <si>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</si>
  <si>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</si>
  <si>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</si>
  <si>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</si>
  <si>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</si>
  <si>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</si>
  <si>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</si>
  <si>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</si>
  <si>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</si>
  <si>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</si>
  <si>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</si>
  <si>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</si>
  <si>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</si>
  <si>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</si>
  <si>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</si>
  <si>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</si>
  <si>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</si>
  <si>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</si>
  <si>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</si>
  <si>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</si>
  <si>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</si>
  <si>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</si>
  <si>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</si>
  <si>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</si>
  <si>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</si>
  <si>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</si>
  <si>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</si>
  <si>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</si>
  <si>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</si>
  <si>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</si>
  <si>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</si>
  <si>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</si>
  <si>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</si>
  <si>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</si>
  <si>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</si>
  <si>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</si>
  <si>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</si>
  <si>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</si>
  <si>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</si>
  <si>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</si>
  <si>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</si>
  <si>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</si>
  <si>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</si>
  <si>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</si>
  <si>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</si>
  <si>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</si>
  <si>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</si>
  <si>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</si>
  <si>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</si>
  <si>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</si>
  <si>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</si>
  <si>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</si>
  <si>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</si>
  <si>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</si>
  <si>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</si>
  <si>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</si>
  <si>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</si>
  <si>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</si>
  <si>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</si>
  <si>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</si>
  <si>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</si>
  <si>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</si>
  <si>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</si>
  <si>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Tennessee, Inc.</t>
  </si>
  <si>
    <t>Cigna Hlth Grp</t>
  </si>
  <si>
    <t>N/A</t>
  </si>
  <si>
    <t>00901</t>
  </si>
  <si>
    <t>2015</t>
  </si>
  <si>
    <t>100 Corporate Center Drive Franklin, TN 37067</t>
  </si>
  <si>
    <t>621218053</t>
  </si>
  <si>
    <t>068878</t>
  </si>
  <si>
    <t>95606</t>
  </si>
  <si>
    <t>94926</t>
  </si>
  <si>
    <t>109</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</si>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</sst>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185</v>
      </c>
    </row>
    <row r="13" spans="1:6" x14ac:dyDescent="0.2">
      <c r="B13" s="153" t="s">
        <v>50</v>
      </c>
      <c r="C13" s="486" t="s">
        <v>185</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24384</v>
      </c>
      <c r="E5" s="219">
        <f>SUM('Pt 2 Premium and Claims'!E$5,'Pt 2 Premium and Claims'!E$6,-'Pt 2 Premium and Claims'!E$7,-'Pt 2 Premium and Claims'!E$13,'Pt 2 Premium and Claims'!E$14:'Pt 2 Premium and Claims'!E$17)</f>
        <v>24384</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39036</v>
      </c>
      <c r="K5" s="219">
        <f>SUM('Pt 2 Premium and Claims'!K$5,'Pt 2 Premium and Claims'!K$6,-'Pt 2 Premium and Claims'!K$7,-'Pt 2 Premium and Claims'!K$13,'Pt 2 Premium and Claims'!K$14,'Pt 2 Premium and Claims'!K$16:'Pt 2 Premium and Claims'!K$17)</f>
        <v>39036</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19219317</v>
      </c>
      <c r="Q5" s="219">
        <f>SUM('Pt 2 Premium and Claims'!Q$5,'Pt 2 Premium and Claims'!Q$6,-'Pt 2 Premium and Claims'!Q$7,-'Pt 2 Premium and Claims'!Q$13,'Pt 2 Premium and Claims'!Q$14)</f>
        <v>19272357</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151</v>
      </c>
      <c r="Q7" s="223">
        <v>151</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57</v>
      </c>
      <c r="E12" s="219">
        <f>'Pt 2 Premium and Claims'!E$54</f>
        <v>1328</v>
      </c>
      <c r="F12" s="219">
        <f>'Pt 2 Premium and Claims'!F$54</f>
        <v>0</v>
      </c>
      <c r="G12" s="219">
        <f>'Pt 2 Premium and Claims'!G$54</f>
        <v>0</v>
      </c>
      <c r="H12" s="219">
        <f>'Pt 2 Premium and Claims'!H$54</f>
        <v>0</v>
      </c>
      <c r="I12" s="218">
        <f>'Pt 2 Premium and Claims'!I$54</f>
        <v>0</v>
      </c>
      <c r="J12" s="218">
        <f>'Pt 2 Premium and Claims'!J$54</f>
        <v>6246</v>
      </c>
      <c r="K12" s="219">
        <f>'Pt 2 Premium and Claims'!K$54</f>
        <v>2957</v>
      </c>
      <c r="L12" s="219">
        <f>'Pt 2 Premium and Claims'!L$54</f>
        <v>0</v>
      </c>
      <c r="M12" s="219">
        <f>'Pt 2 Premium and Claims'!M$54</f>
        <v>0</v>
      </c>
      <c r="N12" s="219">
        <f>'Pt 2 Premium and Claims'!N$54</f>
        <v>0</v>
      </c>
      <c r="O12" s="218">
        <f>'Pt 2 Premium and Claims'!O$54</f>
        <v>0</v>
      </c>
      <c r="P12" s="218">
        <f>'Pt 2 Premium and Claims'!P$54</f>
        <v>14538891</v>
      </c>
      <c r="Q12" s="219">
        <f>'Pt 2 Premium and Claims'!Q$54</f>
        <v>14235129</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0</v>
      </c>
      <c r="AV12" s="297"/>
      <c r="AW12" s="302"/>
    </row>
    <row r="13" spans="1:49" ht="25.5" x14ac:dyDescent="0.2">
      <c r="B13" s="245" t="s">
        <v>230</v>
      </c>
      <c r="C13" s="209" t="s">
        <v>37</v>
      </c>
      <c r="D13" s="222">
        <v>586</v>
      </c>
      <c r="E13" s="223">
        <v>586</v>
      </c>
      <c r="F13" s="223"/>
      <c r="G13" s="274"/>
      <c r="H13" s="275"/>
      <c r="I13" s="222">
        <v>0</v>
      </c>
      <c r="J13" s="222">
        <v>-17</v>
      </c>
      <c r="K13" s="223">
        <v>-17</v>
      </c>
      <c r="L13" s="223"/>
      <c r="M13" s="274"/>
      <c r="N13" s="275"/>
      <c r="O13" s="222"/>
      <c r="P13" s="222">
        <v>2822112</v>
      </c>
      <c r="Q13" s="223">
        <v>2943128</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1761</v>
      </c>
      <c r="Q15" s="223">
        <v>1761</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-809</v>
      </c>
      <c r="E17" s="273"/>
      <c r="F17" s="276"/>
      <c r="G17" s="276"/>
      <c r="H17" s="276"/>
      <c r="I17" s="277"/>
      <c r="J17" s="222">
        <v>-1296</v>
      </c>
      <c r="K17" s="273"/>
      <c r="L17" s="276"/>
      <c r="M17" s="276"/>
      <c r="N17" s="276"/>
      <c r="O17" s="277"/>
      <c r="P17" s="222">
        <v>-637895</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165723</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473889</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588351</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-5168</v>
      </c>
      <c r="E25" s="223">
        <v>-5168</v>
      </c>
      <c r="F25" s="223"/>
      <c r="G25" s="223"/>
      <c r="H25" s="223"/>
      <c r="I25" s="222">
        <v>0</v>
      </c>
      <c r="J25" s="222">
        <v>-6374</v>
      </c>
      <c r="K25" s="223">
        <v>-6374</v>
      </c>
      <c r="L25" s="223"/>
      <c r="M25" s="223"/>
      <c r="N25" s="223"/>
      <c r="O25" s="222"/>
      <c r="P25" s="222">
        <v>-117445</v>
      </c>
      <c r="Q25" s="223">
        <v>-117445</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0</v>
      </c>
      <c r="AU25" s="226">
        <v>0</v>
      </c>
      <c r="AV25" s="226">
        <v>0</v>
      </c>
      <c r="AW25" s="303"/>
    </row>
    <row r="26" spans="1:49" s="11" customFormat="1" x14ac:dyDescent="0.2">
      <c r="A26" s="41"/>
      <c r="B26" s="248" t="s">
        <v>242</v>
      </c>
      <c r="C26" s="209"/>
      <c r="D26" s="222">
        <v>2</v>
      </c>
      <c r="E26" s="223">
        <v>2</v>
      </c>
      <c r="F26" s="223"/>
      <c r="G26" s="223"/>
      <c r="H26" s="223"/>
      <c r="I26" s="222">
        <v>0</v>
      </c>
      <c r="J26" s="222">
        <v>11</v>
      </c>
      <c r="K26" s="223">
        <v>11</v>
      </c>
      <c r="L26" s="223"/>
      <c r="M26" s="223"/>
      <c r="N26" s="223"/>
      <c r="O26" s="222"/>
      <c r="P26" s="222">
        <v>19394</v>
      </c>
      <c r="Q26" s="223">
        <v>19394</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109</v>
      </c>
      <c r="E27" s="223">
        <v>109</v>
      </c>
      <c r="F27" s="223"/>
      <c r="G27" s="223"/>
      <c r="H27" s="223"/>
      <c r="I27" s="222">
        <v>0</v>
      </c>
      <c r="J27" s="222">
        <v>414</v>
      </c>
      <c r="K27" s="223">
        <v>414</v>
      </c>
      <c r="L27" s="223"/>
      <c r="M27" s="223"/>
      <c r="N27" s="223"/>
      <c r="O27" s="222"/>
      <c r="P27" s="222">
        <v>383545</v>
      </c>
      <c r="Q27" s="223">
        <v>383545</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21</v>
      </c>
      <c r="E28" s="223">
        <v>21</v>
      </c>
      <c r="F28" s="223"/>
      <c r="G28" s="223"/>
      <c r="H28" s="223"/>
      <c r="I28" s="222">
        <v>0</v>
      </c>
      <c r="J28" s="222">
        <v>79</v>
      </c>
      <c r="K28" s="223">
        <v>79</v>
      </c>
      <c r="L28" s="223"/>
      <c r="M28" s="223"/>
      <c r="N28" s="223"/>
      <c r="O28" s="222"/>
      <c r="P28" s="222">
        <v>73296</v>
      </c>
      <c r="Q28" s="223">
        <v>73296</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17</v>
      </c>
      <c r="E30" s="223">
        <v>17</v>
      </c>
      <c r="F30" s="223"/>
      <c r="G30" s="223"/>
      <c r="H30" s="223"/>
      <c r="I30" s="222">
        <v>0</v>
      </c>
      <c r="J30" s="222">
        <v>27</v>
      </c>
      <c r="K30" s="223">
        <v>27</v>
      </c>
      <c r="L30" s="223"/>
      <c r="M30" s="223"/>
      <c r="N30" s="223"/>
      <c r="O30" s="222"/>
      <c r="P30" s="222">
        <v>14085</v>
      </c>
      <c r="Q30" s="223">
        <v>14085</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1175</v>
      </c>
      <c r="E31" s="223">
        <v>1175</v>
      </c>
      <c r="F31" s="223"/>
      <c r="G31" s="223"/>
      <c r="H31" s="223"/>
      <c r="I31" s="222">
        <v>0</v>
      </c>
      <c r="J31" s="222">
        <v>1881</v>
      </c>
      <c r="K31" s="223">
        <v>1881</v>
      </c>
      <c r="L31" s="223"/>
      <c r="M31" s="223"/>
      <c r="N31" s="223"/>
      <c r="O31" s="222"/>
      <c r="P31" s="222">
        <v>925921</v>
      </c>
      <c r="Q31" s="223">
        <v>925921</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55</v>
      </c>
      <c r="E34" s="223">
        <v>55</v>
      </c>
      <c r="F34" s="223"/>
      <c r="G34" s="223"/>
      <c r="H34" s="223"/>
      <c r="I34" s="222">
        <v>0</v>
      </c>
      <c r="J34" s="222">
        <v>15</v>
      </c>
      <c r="K34" s="223">
        <v>15</v>
      </c>
      <c r="L34" s="223"/>
      <c r="M34" s="223"/>
      <c r="N34" s="223"/>
      <c r="O34" s="222"/>
      <c r="P34" s="222">
        <v>192804</v>
      </c>
      <c r="Q34" s="223">
        <v>192804</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4</v>
      </c>
      <c r="E35" s="223">
        <v>4</v>
      </c>
      <c r="F35" s="223"/>
      <c r="G35" s="223"/>
      <c r="H35" s="223"/>
      <c r="I35" s="222">
        <v>0</v>
      </c>
      <c r="J35" s="222">
        <v>14</v>
      </c>
      <c r="K35" s="223">
        <v>14</v>
      </c>
      <c r="L35" s="223"/>
      <c r="M35" s="223"/>
      <c r="N35" s="223"/>
      <c r="O35" s="222"/>
      <c r="P35" s="222">
        <v>12735</v>
      </c>
      <c r="Q35" s="223">
        <v>12735</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5</v>
      </c>
      <c r="E37" s="231">
        <v>5</v>
      </c>
      <c r="F37" s="231"/>
      <c r="G37" s="231"/>
      <c r="H37" s="231"/>
      <c r="I37" s="230">
        <v>0</v>
      </c>
      <c r="J37" s="230">
        <v>17</v>
      </c>
      <c r="K37" s="231">
        <v>19</v>
      </c>
      <c r="L37" s="231"/>
      <c r="M37" s="231"/>
      <c r="N37" s="231"/>
      <c r="O37" s="230"/>
      <c r="P37" s="230">
        <v>16130</v>
      </c>
      <c r="Q37" s="231">
        <v>18638</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2</v>
      </c>
      <c r="E38" s="223">
        <v>2</v>
      </c>
      <c r="F38" s="223"/>
      <c r="G38" s="223"/>
      <c r="H38" s="223"/>
      <c r="I38" s="222">
        <v>0</v>
      </c>
      <c r="J38" s="222">
        <v>8</v>
      </c>
      <c r="K38" s="223">
        <v>8</v>
      </c>
      <c r="L38" s="223"/>
      <c r="M38" s="223"/>
      <c r="N38" s="223"/>
      <c r="O38" s="222"/>
      <c r="P38" s="222">
        <v>7504</v>
      </c>
      <c r="Q38" s="223">
        <v>7646</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37</v>
      </c>
      <c r="F39" s="223"/>
      <c r="G39" s="223"/>
      <c r="H39" s="223"/>
      <c r="I39" s="222">
        <v>0</v>
      </c>
      <c r="J39" s="222">
        <v>1</v>
      </c>
      <c r="K39" s="223">
        <v>145</v>
      </c>
      <c r="L39" s="223"/>
      <c r="M39" s="223"/>
      <c r="N39" s="223"/>
      <c r="O39" s="222"/>
      <c r="P39" s="222">
        <v>966</v>
      </c>
      <c r="Q39" s="223">
        <v>130051</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1</v>
      </c>
      <c r="E40" s="223">
        <v>1</v>
      </c>
      <c r="F40" s="223"/>
      <c r="G40" s="223"/>
      <c r="H40" s="223"/>
      <c r="I40" s="222">
        <v>0</v>
      </c>
      <c r="J40" s="222">
        <v>3</v>
      </c>
      <c r="K40" s="223">
        <v>3</v>
      </c>
      <c r="L40" s="223"/>
      <c r="M40" s="223"/>
      <c r="N40" s="223"/>
      <c r="O40" s="222"/>
      <c r="P40" s="222">
        <v>3435</v>
      </c>
      <c r="Q40" s="223">
        <v>3435</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2</v>
      </c>
      <c r="E41" s="223">
        <v>2</v>
      </c>
      <c r="F41" s="223"/>
      <c r="G41" s="223"/>
      <c r="H41" s="223"/>
      <c r="I41" s="222">
        <v>0</v>
      </c>
      <c r="J41" s="222">
        <v>7</v>
      </c>
      <c r="K41" s="223">
        <v>7</v>
      </c>
      <c r="L41" s="223"/>
      <c r="M41" s="223"/>
      <c r="N41" s="223"/>
      <c r="O41" s="222"/>
      <c r="P41" s="222">
        <v>6546</v>
      </c>
      <c r="Q41" s="223">
        <v>6589</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243</v>
      </c>
      <c r="Q42" s="223">
        <v>243</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43</v>
      </c>
      <c r="E44" s="231">
        <v>156</v>
      </c>
      <c r="F44" s="231"/>
      <c r="G44" s="231"/>
      <c r="H44" s="231"/>
      <c r="I44" s="230">
        <v>0</v>
      </c>
      <c r="J44" s="230">
        <v>164</v>
      </c>
      <c r="K44" s="231">
        <v>812</v>
      </c>
      <c r="L44" s="231"/>
      <c r="M44" s="231"/>
      <c r="N44" s="231"/>
      <c r="O44" s="230"/>
      <c r="P44" s="230">
        <v>151566</v>
      </c>
      <c r="Q44" s="231">
        <v>537123</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41</v>
      </c>
      <c r="E45" s="223">
        <v>41</v>
      </c>
      <c r="F45" s="223"/>
      <c r="G45" s="223"/>
      <c r="H45" s="223"/>
      <c r="I45" s="222">
        <v>0</v>
      </c>
      <c r="J45" s="222">
        <v>155</v>
      </c>
      <c r="K45" s="223">
        <v>155</v>
      </c>
      <c r="L45" s="223"/>
      <c r="M45" s="223"/>
      <c r="N45" s="223"/>
      <c r="O45" s="222"/>
      <c r="P45" s="222">
        <v>143254</v>
      </c>
      <c r="Q45" s="223">
        <v>143254</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10</v>
      </c>
      <c r="E46" s="223">
        <v>10</v>
      </c>
      <c r="F46" s="223"/>
      <c r="G46" s="223"/>
      <c r="H46" s="223"/>
      <c r="I46" s="222">
        <v>0</v>
      </c>
      <c r="J46" s="222">
        <v>37</v>
      </c>
      <c r="K46" s="223">
        <v>37</v>
      </c>
      <c r="L46" s="223"/>
      <c r="M46" s="223"/>
      <c r="N46" s="223"/>
      <c r="O46" s="222"/>
      <c r="P46" s="222">
        <v>33915</v>
      </c>
      <c r="Q46" s="223">
        <v>33915</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51</v>
      </c>
      <c r="K47" s="223">
        <v>51</v>
      </c>
      <c r="L47" s="223"/>
      <c r="M47" s="223"/>
      <c r="N47" s="223"/>
      <c r="O47" s="222"/>
      <c r="P47" s="222">
        <v>25054</v>
      </c>
      <c r="Q47" s="223">
        <v>25054</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4</v>
      </c>
      <c r="E49" s="223">
        <v>4</v>
      </c>
      <c r="F49" s="223"/>
      <c r="G49" s="223"/>
      <c r="H49" s="223"/>
      <c r="I49" s="222">
        <v>0</v>
      </c>
      <c r="J49" s="222">
        <v>15</v>
      </c>
      <c r="K49" s="223">
        <v>15</v>
      </c>
      <c r="L49" s="223"/>
      <c r="M49" s="223"/>
      <c r="N49" s="223"/>
      <c r="O49" s="222"/>
      <c r="P49" s="222">
        <v>14188</v>
      </c>
      <c r="Q49" s="223">
        <v>14188</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2</v>
      </c>
      <c r="E50" s="223">
        <v>2</v>
      </c>
      <c r="F50" s="223"/>
      <c r="G50" s="223"/>
      <c r="H50" s="223"/>
      <c r="I50" s="222">
        <v>0</v>
      </c>
      <c r="J50" s="222">
        <v>6</v>
      </c>
      <c r="K50" s="223">
        <v>6</v>
      </c>
      <c r="L50" s="223"/>
      <c r="M50" s="223"/>
      <c r="N50" s="223"/>
      <c r="O50" s="222"/>
      <c r="P50" s="222">
        <v>5323</v>
      </c>
      <c r="Q50" s="223">
        <v>5323</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900</v>
      </c>
      <c r="E51" s="223">
        <v>900</v>
      </c>
      <c r="F51" s="223"/>
      <c r="G51" s="223"/>
      <c r="H51" s="223"/>
      <c r="I51" s="222">
        <v>0</v>
      </c>
      <c r="J51" s="222">
        <v>3407</v>
      </c>
      <c r="K51" s="223">
        <v>3407</v>
      </c>
      <c r="L51" s="223"/>
      <c r="M51" s="223"/>
      <c r="N51" s="223"/>
      <c r="O51" s="222"/>
      <c r="P51" s="222">
        <v>3152719</v>
      </c>
      <c r="Q51" s="223">
        <v>3152719</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662</v>
      </c>
      <c r="Q53" s="223">
        <v>662</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v>1</v>
      </c>
      <c r="F56" s="235"/>
      <c r="G56" s="235"/>
      <c r="H56" s="235"/>
      <c r="I56" s="234">
        <v>0</v>
      </c>
      <c r="J56" s="234">
        <v>0</v>
      </c>
      <c r="K56" s="235">
        <v>0</v>
      </c>
      <c r="L56" s="235"/>
      <c r="M56" s="235"/>
      <c r="N56" s="235"/>
      <c r="O56" s="234"/>
      <c r="P56" s="234">
        <v>1940</v>
      </c>
      <c r="Q56" s="235">
        <v>1940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1</v>
      </c>
      <c r="E57" s="238">
        <v>1</v>
      </c>
      <c r="F57" s="238"/>
      <c r="G57" s="238"/>
      <c r="H57" s="238"/>
      <c r="I57" s="237">
        <v>0</v>
      </c>
      <c r="J57" s="237">
        <v>0</v>
      </c>
      <c r="K57" s="238">
        <v>0</v>
      </c>
      <c r="L57" s="238"/>
      <c r="M57" s="238"/>
      <c r="N57" s="238"/>
      <c r="O57" s="237"/>
      <c r="P57" s="237">
        <v>3494</v>
      </c>
      <c r="Q57" s="238">
        <v>3494</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15</v>
      </c>
      <c r="Q58" s="238">
        <v>15</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14</v>
      </c>
      <c r="E59" s="238">
        <v>14</v>
      </c>
      <c r="F59" s="238"/>
      <c r="G59" s="238"/>
      <c r="H59" s="238"/>
      <c r="I59" s="237">
        <v>0</v>
      </c>
      <c r="J59" s="237">
        <v>53</v>
      </c>
      <c r="K59" s="238">
        <v>53</v>
      </c>
      <c r="L59" s="238"/>
      <c r="M59" s="238"/>
      <c r="N59" s="238"/>
      <c r="O59" s="237"/>
      <c r="P59" s="237">
        <v>49046</v>
      </c>
      <c r="Q59" s="238">
        <v>49046</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1.1666666666666667</v>
      </c>
      <c r="E60" s="241">
        <f>E$59/12</f>
        <v>1.1666666666666667</v>
      </c>
      <c r="F60" s="241">
        <f>F$59/12</f>
        <v>0</v>
      </c>
      <c r="G60" s="241">
        <f>G$59/12</f>
        <v>0</v>
      </c>
      <c r="H60" s="241">
        <f>H$59/12</f>
        <v>0</v>
      </c>
      <c r="I60" s="240">
        <f>I$59/12</f>
        <v>0</v>
      </c>
      <c r="J60" s="240">
        <f>J$59/12</f>
        <v>4.416666666666667</v>
      </c>
      <c r="K60" s="241">
        <f>K$59/12</f>
        <v>4.416666666666667</v>
      </c>
      <c r="L60" s="241">
        <f>L$59/12</f>
        <v>0</v>
      </c>
      <c r="M60" s="241">
        <f>M$59/12</f>
        <v>0</v>
      </c>
      <c r="N60" s="241">
        <f>N$59/12</f>
        <v>0</v>
      </c>
      <c r="O60" s="240">
        <f>O$59/12</f>
        <v>0</v>
      </c>
      <c r="P60" s="240">
        <f>P$59/12</f>
        <v>4087.1666666666665</v>
      </c>
      <c r="Q60" s="241">
        <f>Q$59/12</f>
        <v>4087.1666666666665</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121990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-31560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24385</v>
      </c>
      <c r="E5" s="332">
        <v>24385</v>
      </c>
      <c r="F5" s="332"/>
      <c r="G5" s="334"/>
      <c r="H5" s="334"/>
      <c r="I5" s="331">
        <v>0</v>
      </c>
      <c r="J5" s="331">
        <v>39038</v>
      </c>
      <c r="K5" s="332">
        <v>39038</v>
      </c>
      <c r="L5" s="332"/>
      <c r="M5" s="332"/>
      <c r="N5" s="332"/>
      <c r="O5" s="331"/>
      <c r="P5" s="331">
        <v>19220490</v>
      </c>
      <c r="Q5" s="332">
        <v>19273168</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1</v>
      </c>
      <c r="E13" s="325">
        <v>1</v>
      </c>
      <c r="F13" s="325"/>
      <c r="G13" s="325"/>
      <c r="H13" s="325"/>
      <c r="I13" s="324">
        <v>0</v>
      </c>
      <c r="J13" s="324">
        <v>2</v>
      </c>
      <c r="K13" s="325">
        <v>2</v>
      </c>
      <c r="L13" s="325"/>
      <c r="M13" s="325"/>
      <c r="N13" s="325"/>
      <c r="O13" s="324"/>
      <c r="P13" s="324">
        <v>1173</v>
      </c>
      <c r="Q13" s="325">
        <v>811</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1309</v>
      </c>
      <c r="E23" s="368"/>
      <c r="F23" s="368"/>
      <c r="G23" s="368"/>
      <c r="H23" s="368"/>
      <c r="I23" s="370"/>
      <c r="J23" s="324">
        <v>3797</v>
      </c>
      <c r="K23" s="368"/>
      <c r="L23" s="368"/>
      <c r="M23" s="368"/>
      <c r="N23" s="368"/>
      <c r="O23" s="370"/>
      <c r="P23" s="324">
        <v>14676249</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1159</v>
      </c>
      <c r="F24" s="325"/>
      <c r="G24" s="325"/>
      <c r="H24" s="325"/>
      <c r="I24" s="324">
        <v>0</v>
      </c>
      <c r="J24" s="371"/>
      <c r="K24" s="325">
        <v>2647</v>
      </c>
      <c r="L24" s="325"/>
      <c r="M24" s="325"/>
      <c r="N24" s="325"/>
      <c r="O24" s="324"/>
      <c r="P24" s="371"/>
      <c r="Q24" s="325">
        <v>14092548</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1516</v>
      </c>
      <c r="E26" s="368"/>
      <c r="F26" s="368"/>
      <c r="G26" s="368"/>
      <c r="H26" s="368"/>
      <c r="I26" s="370"/>
      <c r="J26" s="324">
        <v>2427</v>
      </c>
      <c r="K26" s="368"/>
      <c r="L26" s="368"/>
      <c r="M26" s="368"/>
      <c r="N26" s="368"/>
      <c r="O26" s="370"/>
      <c r="P26" s="324">
        <v>1195162</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180</v>
      </c>
      <c r="F27" s="325"/>
      <c r="G27" s="325"/>
      <c r="H27" s="325"/>
      <c r="I27" s="324">
        <v>0</v>
      </c>
      <c r="J27" s="371"/>
      <c r="K27" s="325">
        <v>288</v>
      </c>
      <c r="L27" s="325"/>
      <c r="M27" s="325"/>
      <c r="N27" s="325"/>
      <c r="O27" s="324"/>
      <c r="P27" s="371"/>
      <c r="Q27" s="325">
        <v>141858</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2757</v>
      </c>
      <c r="E28" s="369"/>
      <c r="F28" s="369"/>
      <c r="G28" s="369"/>
      <c r="H28" s="369"/>
      <c r="I28" s="371"/>
      <c r="J28" s="324">
        <v>0</v>
      </c>
      <c r="K28" s="369"/>
      <c r="L28" s="369"/>
      <c r="M28" s="369"/>
      <c r="N28" s="369"/>
      <c r="O28" s="371"/>
      <c r="P28" s="324">
        <v>1333243</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13</v>
      </c>
      <c r="E34" s="368"/>
      <c r="F34" s="368"/>
      <c r="G34" s="368"/>
      <c r="H34" s="368"/>
      <c r="I34" s="370"/>
      <c r="J34" s="324">
        <v>22</v>
      </c>
      <c r="K34" s="368"/>
      <c r="L34" s="368"/>
      <c r="M34" s="368"/>
      <c r="N34" s="368"/>
      <c r="O34" s="370"/>
      <c r="P34" s="324">
        <v>10615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13</v>
      </c>
      <c r="F35" s="325"/>
      <c r="G35" s="325"/>
      <c r="H35" s="325"/>
      <c r="I35" s="324">
        <v>0</v>
      </c>
      <c r="J35" s="371"/>
      <c r="K35" s="325">
        <v>22</v>
      </c>
      <c r="L35" s="325"/>
      <c r="M35" s="325"/>
      <c r="N35" s="325"/>
      <c r="O35" s="324"/>
      <c r="P35" s="371"/>
      <c r="Q35" s="325">
        <v>10615</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24</v>
      </c>
      <c r="E36" s="325">
        <v>24</v>
      </c>
      <c r="F36" s="325"/>
      <c r="G36" s="325"/>
      <c r="H36" s="325"/>
      <c r="I36" s="324">
        <v>0</v>
      </c>
      <c r="J36" s="324">
        <v>0</v>
      </c>
      <c r="K36" s="325">
        <v>0</v>
      </c>
      <c r="L36" s="325"/>
      <c r="M36" s="325"/>
      <c r="N36" s="325"/>
      <c r="O36" s="324"/>
      <c r="P36" s="324">
        <v>11696</v>
      </c>
      <c r="Q36" s="325">
        <v>11696</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1804</v>
      </c>
      <c r="Q45" s="325">
        <v>1804</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57</v>
      </c>
      <c r="E54" s="329">
        <f>E24+E27+E31+E35-E36+E39+E42+E45+E46-E49+E51+E52+E53</f>
        <v>1328</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6246</v>
      </c>
      <c r="K54" s="329">
        <f>K24+K27+K31+K35-K36+K39+K42+K45+K46-K49+K51+K52+K53</f>
        <v>2957</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14538891</v>
      </c>
      <c r="Q54" s="329">
        <f>Q24+Q27+Q31+Q35-Q36+Q39+Q42+Q45+Q46-Q49+Q51+Q52+Q53</f>
        <v>14235129</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2455</v>
      </c>
      <c r="D6" s="404">
        <v>3812</v>
      </c>
      <c r="E6" s="406">
        <f>SUM('Pt 1 Summary of Data'!E$12,'Pt 1 Summary of Data'!E$22)+SUM('Pt 1 Summary of Data'!G$12,'Pt 1 Summary of Data'!G$22)-SUM('Pt 1 Summary of Data'!H$12,'Pt 1 Summary of Data'!H$22)</f>
        <v>1328</v>
      </c>
      <c r="F6" s="406">
        <f>SUM(C6:E6)</f>
        <v>7595</v>
      </c>
      <c r="G6" s="407">
        <f>SUM('Pt 1 Summary of Data'!I$12,'Pt 1 Summary of Data'!I$22)</f>
        <v>0</v>
      </c>
      <c r="H6" s="403">
        <v>0</v>
      </c>
      <c r="I6" s="404">
        <v>177</v>
      </c>
      <c r="J6" s="406">
        <f>SUM('Pt 1 Summary of Data'!K$12,'Pt 1 Summary of Data'!K$22)+SUM('Pt 1 Summary of Data'!M$12,'Pt 1 Summary of Data'!M$22)-SUM('Pt 1 Summary of Data'!N$12,'Pt 1 Summary of Data'!N$22)</f>
        <v>2957</v>
      </c>
      <c r="K6" s="406">
        <f>SUM(H6:J6)</f>
        <v>3134</v>
      </c>
      <c r="L6" s="407">
        <f>SUM('Pt 1 Summary of Data'!O$12,'Pt 1 Summary of Data'!O$22)</f>
        <v>0</v>
      </c>
      <c r="M6" s="403">
        <v>25693215</v>
      </c>
      <c r="N6" s="404">
        <v>13889922</v>
      </c>
      <c r="O6" s="406">
        <f>SUM('Pt 1 Summary of Data'!Q$12,'Pt 1 Summary of Data'!Q$22)+SUM('Pt 1 Summary of Data'!S$12,'Pt 1 Summary of Data'!S$22)-SUM('Pt 1 Summary of Data'!T$12,'Pt 1 Summary of Data'!T$22)</f>
        <v>14235129</v>
      </c>
      <c r="P6" s="406">
        <f>SUM(M6:O6)</f>
        <v>53818266</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57</v>
      </c>
      <c r="D7" s="404">
        <v>86</v>
      </c>
      <c r="E7" s="406">
        <f>SUM('Pt 1 Summary of Data'!E$37:E$41)+SUM('Pt 1 Summary of Data'!G$37:G$41)-SUM('Pt 1 Summary of Data'!H$37:H$41)+MAX(0,MIN('Pt 1 Summary of Data'!E$42+'Pt 1 Summary of Data'!G$42-'Pt 1 Summary of Data'!H$42,0.3%*('Pt 1 Summary of Data'!E$5+'Pt 1 Summary of Data'!G$5-'Pt 1 Summary of Data'!H$5-SUM(E$9:E$11))))</f>
        <v>47</v>
      </c>
      <c r="F7" s="406">
        <f>SUM(C7:E7)</f>
        <v>190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182</v>
      </c>
      <c r="K7" s="406">
        <f>SUM(H7:J7)</f>
        <v>182</v>
      </c>
      <c r="L7" s="407">
        <f>SUM('Pt 1 Summary of Data'!O$37:O$41)+MAX(0,MIN(VALUE('Pt 1 Summary of Data'!O$42),0.3%*('Pt 1 Summary of Data'!O$5-L$10)))</f>
        <v>0</v>
      </c>
      <c r="M7" s="403">
        <v>222501</v>
      </c>
      <c r="N7" s="404">
        <v>178947</v>
      </c>
      <c r="O7" s="406">
        <f>SUM('Pt 1 Summary of Data'!Q$37:Q$41)+SUM('Pt 1 Summary of Data'!S$37:S$41)-SUM('Pt 1 Summary of Data'!T$37:T$41)+MAX(0,MIN('Pt 1 Summary of Data'!Q$42+'Pt 1 Summary of Data'!S$42-'Pt 1 Summary of Data'!T$42,0.3%*('Pt 1 Summary of Data'!Q$5+'Pt 1 Summary of Data'!S$5-'Pt 1 Summary of Data'!T$5)))</f>
        <v>166602</v>
      </c>
      <c r="P7" s="406">
        <f>SUM(M7:O7)</f>
        <v>568050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2512</v>
      </c>
      <c r="D12" s="406">
        <f>SUM(D$6:D$7) - SUM(D$8:D$11)+IF(AND(OR('Company Information'!$C$12="District of Columbia",'Company Information'!$C$12="Massachusetts",'Company Information'!$C$12="Vermont"),SUM($C$6:$F$11,$C$15:$F$16,$C$38:$D$38)&lt;&gt;0),SUM(I$6:I$7) - SUM(I$10:I$11),0)</f>
        <v>3898</v>
      </c>
      <c r="E12" s="406">
        <f>SUM(E$6:E$7)-SUM(E$8:E$11)+IF(AND(OR('Company Information'!$C$12="District of Columbia",'Company Information'!$C$12="Massachusetts",'Company Information'!$C$12="Vermont"),SUM($C$6:$F$11,$C$15:$F$16,$C$38:$D$38)&lt;&gt;0),SUM(J$6:J$7)-SUM(J$10:J$11),0)</f>
        <v>1375</v>
      </c>
      <c r="F12" s="406">
        <f>IFERROR(SUM(C$12:E$12)+C$17*MAX(0,E$50-C$50)+D$17*MAX(0,E$50-D$50),0)</f>
        <v>7785</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177</v>
      </c>
      <c r="J12" s="406">
        <f>SUM(J$6:J$7)-SUM(J$10:J$11)+IF(AND(OR('Company Information'!$C$12="District of Columbia",'Company Information'!$C$12="Massachusetts",'Company Information'!$C$12="Vermont"),SUM($H$6:$K$11,$H$15:$K$16,$H$38:$I$38)&lt;&gt;0),SUM(E$6:E$7)-SUM(E$8:E$11),0)</f>
        <v>3139</v>
      </c>
      <c r="K12" s="406">
        <f>IFERROR(SUM(H$12:J$12)+H$17*MAX(0,J$50-H$50)+I$17*MAX(0,J$50-I$50),0)</f>
        <v>3316</v>
      </c>
      <c r="L12" s="453"/>
      <c r="M12" s="405">
        <f>SUM(M$6:M$7)</f>
        <v>25915716</v>
      </c>
      <c r="N12" s="406">
        <f>SUM(N$6:N$7)</f>
        <v>14068869</v>
      </c>
      <c r="O12" s="406">
        <f>SUM(O$6:O$7)</f>
        <v>14401731</v>
      </c>
      <c r="P12" s="406">
        <f>SUM(M$12:O$12)+M$17*MAX(0,O$50-M$50)+N$17*MAX(0,O$50-N$50)</f>
        <v>54386316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38779</v>
      </c>
      <c r="D15" s="409">
        <v>38028</v>
      </c>
      <c r="E15" s="401">
        <f>SUM('Pt 1 Summary of Data'!E$5:E$7)+SUM('Pt 1 Summary of Data'!G$5:G$7)-SUM('Pt 1 Summary of Data'!H$5:H$7)-SUM(E$9:E$11)</f>
        <v>24384</v>
      </c>
      <c r="F15" s="401">
        <f>SUM(C15:E15)</f>
        <v>101191</v>
      </c>
      <c r="G15" s="402">
        <f>SUM('Pt 1 Summary of Data'!I$5:I$7)-SUM(G$9:G$10)</f>
        <v>0</v>
      </c>
      <c r="H15" s="408">
        <v>0</v>
      </c>
      <c r="I15" s="409">
        <v>0</v>
      </c>
      <c r="J15" s="401">
        <f>SUM('Pt 1 Summary of Data'!K$5:K$7)+SUM('Pt 1 Summary of Data'!M$5:M$7)-SUM('Pt 1 Summary of Data'!N$5:N$7)-SUM(J$10:J$11)</f>
        <v>39036</v>
      </c>
      <c r="K15" s="401">
        <f>SUM(H15:J15)</f>
        <v>39036</v>
      </c>
      <c r="L15" s="402">
        <f>SUM('Pt 1 Summary of Data'!O$5:O$7)-L$10</f>
        <v>0</v>
      </c>
      <c r="M15" s="408">
        <v>36043705</v>
      </c>
      <c r="N15" s="409">
        <v>18452579</v>
      </c>
      <c r="O15" s="401">
        <f>SUM('Pt 1 Summary of Data'!Q$5:Q$7)+SUM('Pt 1 Summary of Data'!S$5:S$7)-SUM('Pt 1 Summary of Data'!T$5:T$7)+N$56</f>
        <v>19272508</v>
      </c>
      <c r="P15" s="401">
        <f>SUM(M15:O15)</f>
        <v>73768792</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14055</v>
      </c>
      <c r="D16" s="404">
        <v>-6426</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-3785</v>
      </c>
      <c r="F16" s="406">
        <f>SUM(C16:E16)</f>
        <v>3844</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-3933</v>
      </c>
      <c r="K16" s="406">
        <f>SUM(H16:J16)</f>
        <v>-3933</v>
      </c>
      <c r="L16" s="407">
        <f>SUM('Pt 1 Summary of Data'!O$25:O$28,'Pt 1 Summary of Data'!O$30,'Pt 1 Summary of Data'!O$34:O$35)+IF('Company Information'!$C$15="No",IF(MAX('Pt 1 Summary of Data'!O$31:O$32)=0,MIN('Pt 1 Summary of Data'!O$31:O$32),MAX('Pt 1 Summary of Data'!O$31:O$32)),SUM('Pt 1 Summary of Data'!O$31:O$32))</f>
        <v>0</v>
      </c>
      <c r="M16" s="403">
        <v>3467679</v>
      </c>
      <c r="N16" s="404">
        <v>1880260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1504335</v>
      </c>
      <c r="P16" s="406">
        <f>SUM(M16:O16)</f>
        <v>6852274</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24724</v>
      </c>
      <c r="D17" s="406">
        <f>D$15-D$16+IF(AND(OR('Company Information'!$C$12="District of Columbia",'Company Information'!$C$12="Massachusetts",'Company Information'!$C$12="Vermont"),SUM($C$6:$F$11,$C$15:$F$16,$C$38:$D$38)&lt;&gt;0),I$15-I$16,0)</f>
        <v>44454</v>
      </c>
      <c r="E17" s="406">
        <f>E$15-E$16+IF(AND(OR('Company Information'!$C$12="District of Columbia",'Company Information'!$C$12="Massachusetts",'Company Information'!$C$12="Vermont"),SUM($C$6:$F$11,$C$15:$F$16,$C$38:$D$38)&lt;&gt;0),J$15-J$16,0)</f>
        <v>28169</v>
      </c>
      <c r="F17" s="406">
        <f>F$15-F$16+IF(AND(OR('Company Information'!$C$12="District of Columbia",'Company Information'!$C$12="Massachusetts",'Company Information'!$C$12="Vermont"),SUM($C$6:$F$11,$C$15:$F$16,$C$38:$D$38)&lt;&gt;0),K$15-K$16,0)</f>
        <v>97347</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42969</v>
      </c>
      <c r="K17" s="406">
        <f>K$15-K$16+IF(AND(OR('Company Information'!$C$12="District of Columbia",'Company Information'!$C$12="Massachusetts",'Company Information'!$C$12="Vermont"),SUM($H$6:$K$11,$H$15:$K$16,$H$38:$I$38)&lt;&gt;0),F$15-F$16,0)</f>
        <v>42969</v>
      </c>
      <c r="L17" s="456"/>
      <c r="M17" s="405">
        <f>M$15-M$16</f>
        <v>32576026</v>
      </c>
      <c r="N17" s="406">
        <f>N$15-N$16</f>
        <v>16572319</v>
      </c>
      <c r="O17" s="406">
        <f>O$15-O$16</f>
        <v>17768173</v>
      </c>
      <c r="P17" s="406">
        <f>P$15-P$16</f>
        <v>66916518</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2</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1.1666666666666667</v>
      </c>
      <c r="F38" s="438">
        <f>SUM(C$38:E$38)+IF(AND(OR('Company Information'!$C$12="District of Columbia",'Company Information'!$C$12="Massachusetts",'Company Information'!$C$12="Vermont"),SUM($C$6:$F$11,$C$15:$F$16,$C$38:$D$38)&lt;&gt;0,SUM(C$38:D$38)&lt;&gt;SUM(H$38:I$38)),SUM(H$38:I$38),0)</f>
        <v>5.166666666666667</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4.416666666666667</v>
      </c>
      <c r="K38" s="438">
        <f>SUM(H$38:J$38)+IF(AND(OR('Company Information'!$C$12="District of Columbia",'Company Information'!$C$12="Massachusetts",'Company Information'!$C$12="Vermont"),SUM($H$6:$K$11,$H$15:$K$16,$H$38:$I$38)&lt;&gt;0,SUM(H$38:I$38)&lt;&gt;SUM(C$38:D$38)),SUM(C$38:D$38),0)</f>
        <v>4.416666666666667</v>
      </c>
      <c r="L38" s="454"/>
      <c r="M38" s="410">
        <v>7749</v>
      </c>
      <c r="N38" s="411">
        <v>4127</v>
      </c>
      <c r="O38" s="438">
        <f>('Pt 1 Summary of Data'!Q$59+'Pt 1 Summary of Data'!S$59-'Pt 1 Summary of Data'!T$59)/12</f>
        <v>4087.1666666666665</v>
      </c>
      <c r="P38" s="438">
        <f>SUM(M$38:O$38)</f>
        <v>15963.166666666666</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0.79554565679681122</v>
      </c>
      <c r="N45" s="442">
        <f>IF(OR(N$38&lt;1000,N$17&lt;=0),"",N$12/N$17)</f>
        <v>0.84893785836490354</v>
      </c>
      <c r="O45" s="442">
        <f>IF(OR(O$38&lt;1000,O$17&lt;=0),"",O$12/O$17)</f>
        <v>0.81053527563019567</v>
      </c>
      <c r="P45" s="442">
        <f>IF(OR(P$38&lt;1000,P$17&lt;=0),"",P$12/P$17)</f>
        <v>0.81274874463731062</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0</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0.81299999999999994</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0.81299999999999994</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17768173</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657422.40100000054</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1</v>
      </c>
      <c r="D4" s="110">
        <f>'Pt 1 Summary of Data'!$K$56+'Pt 1 Summary of Data'!$M$56-'Pt 1 Summary of Data'!$N$56</f>
        <v>0</v>
      </c>
      <c r="E4" s="110">
        <f>'Pt 1 Summary of Data'!$Q$56+'Pt 1 Summary of Data'!$S$56-'Pt 1 Summary of Data'!$T$56</f>
        <v>1940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14</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657422.40100000054</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657422.01</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165723</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507</v>
      </c>
      <c r="D23" s="6"/>
      <c r="E23" s="6"/>
      <c r="F23" s="6"/>
      <c r="G23" s="6"/>
      <c r="H23" s="6"/>
      <c r="I23" s="6"/>
      <c r="J23" s="6"/>
      <c r="K23" s="5"/>
    </row>
    <row r="24" spans="2:12" s="11" customFormat="1" ht="100.15" customHeight="1" x14ac:dyDescent="0.2">
      <c r="B24" s="96"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2016-07-25T22:51:45Z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