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K10" i="10"/>
  <c r="J16" i="10"/>
  <c r="K16" i="10" s="1"/>
  <c r="J11" i="10"/>
  <c r="K11" i="10" s="1"/>
  <c r="J10" i="10"/>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60" i="4"/>
  <c r="J22" i="4"/>
  <c r="J12" i="4"/>
  <c r="J5" i="4"/>
  <c r="I60" i="4"/>
  <c r="I5" i="4"/>
  <c r="G15" i="10" s="1"/>
  <c r="H60" i="4"/>
  <c r="H22" i="4"/>
  <c r="H12" i="4"/>
  <c r="H5" i="4"/>
  <c r="G60" i="4"/>
  <c r="G5" i="4"/>
  <c r="F60" i="4"/>
  <c r="F22" i="4"/>
  <c r="F12" i="4"/>
  <c r="F5" i="4"/>
  <c r="E60" i="4"/>
  <c r="E5" i="4"/>
  <c r="E7" i="10" s="1"/>
  <c r="F7" i="10" s="1"/>
  <c r="D60" i="4"/>
  <c r="D22" i="4"/>
  <c r="D12" i="4"/>
  <c r="D5" i="4"/>
  <c r="K6" i="10" l="1"/>
  <c r="P6" i="10"/>
  <c r="O12" i="10"/>
  <c r="V17" i="10"/>
  <c r="X6" i="10"/>
  <c r="W13" i="10"/>
  <c r="V13" i="10"/>
  <c r="P12" i="10"/>
  <c r="G24" i="10"/>
  <c r="P15" i="10"/>
  <c r="P17" i="10" s="1"/>
  <c r="O17" i="10"/>
  <c r="W17" i="10"/>
  <c r="X15" i="10"/>
  <c r="AB15" i="10"/>
  <c r="AB17" i="10" s="1"/>
  <c r="AA17" i="10"/>
  <c r="F6" i="10"/>
  <c r="R17" i="10"/>
  <c r="J15" i="10"/>
  <c r="T15" i="10"/>
  <c r="S17" i="10"/>
  <c r="L19" i="10"/>
  <c r="L15" i="10"/>
  <c r="AB13" i="10"/>
  <c r="E15" i="10"/>
  <c r="O7" i="10"/>
  <c r="P7" i="10" s="1"/>
  <c r="AA7" i="10"/>
  <c r="AB7" i="10" s="1"/>
  <c r="R13" i="10"/>
  <c r="T6" i="10"/>
  <c r="Q17" i="10"/>
  <c r="T13" i="10" s="1"/>
  <c r="S7" i="10"/>
  <c r="T7" i="10" s="1"/>
  <c r="W7" i="10"/>
  <c r="X7" i="10" s="1"/>
  <c r="G7" i="10"/>
  <c r="G27" i="10" s="1"/>
  <c r="J7" i="10"/>
  <c r="K7" i="10" s="1"/>
  <c r="AA13" i="10" l="1"/>
  <c r="G20" i="10"/>
  <c r="Q13" i="10"/>
  <c r="L27" i="10"/>
  <c r="L23" i="10"/>
  <c r="L32" i="10"/>
  <c r="L24" i="10"/>
  <c r="T17" i="10"/>
  <c r="G32" i="10"/>
  <c r="G19" i="10"/>
  <c r="G22" i="10" s="1"/>
  <c r="C17" i="10"/>
  <c r="C12" i="10"/>
  <c r="S13" i="10"/>
  <c r="F15" i="10"/>
  <c r="E17" i="10"/>
  <c r="K15" i="10"/>
  <c r="K17" i="10" s="1"/>
  <c r="X17" i="10"/>
  <c r="G23" i="10"/>
  <c r="U17" i="10"/>
  <c r="X13" i="10" s="1"/>
  <c r="U13" i="10"/>
  <c r="L20" i="10"/>
  <c r="I12" i="10" l="1"/>
  <c r="I17" i="10"/>
  <c r="F17" i="10"/>
  <c r="E12" i="10"/>
  <c r="D12" i="10"/>
  <c r="G21" i="10"/>
  <c r="G26" i="10" s="1"/>
  <c r="G25" i="10" s="1"/>
  <c r="G28" i="10" s="1"/>
  <c r="G30" i="10"/>
  <c r="J12" i="10"/>
  <c r="D17" i="10"/>
  <c r="F12" i="10" s="1"/>
  <c r="H12" i="10"/>
  <c r="J17" i="10"/>
  <c r="L22" i="10"/>
  <c r="G31" i="10"/>
  <c r="G29" i="10" s="1"/>
  <c r="G33" i="10" s="1"/>
  <c r="G34" i="10" s="1"/>
  <c r="H17" i="10"/>
  <c r="K12" i="10" s="1"/>
  <c r="L21" i="10" l="1"/>
  <c r="L26" i="10" s="1"/>
  <c r="L25" i="10" s="1"/>
  <c r="L28" i="10" s="1"/>
  <c r="L30" i="10"/>
  <c r="L31" i="10" s="1"/>
  <c r="L29" i="10" s="1"/>
  <c r="L33" i="10" s="1"/>
  <c r="L34"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<sst xmlns="http://schemas.openxmlformats.org/spreadsheetml/2006/main" count="719" uniqueCount="571">
  <si>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</si>
  <si>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</si>
  <si>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</si>
  <si>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</si>
  <si>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</si>
  <si>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</si>
  <si>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</si>
  <si>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</si>
  <si>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</si>
  <si>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</si>
  <si>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</si>
  <si>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</si>
  <si>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</si>
  <si>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</si>
  <si>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</si>
  <si>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</si>
  <si>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</si>
  <si>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</si>
  <si>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</si>
  <si>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</si>
  <si>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</si>
  <si>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</si>
  <si>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</si>
  <si>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</si>
  <si>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</si>
  <si>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</si>
  <si>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</si>
  <si>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</si>
  <si>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</si>
  <si>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</si>
  <si>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</si>
  <si>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</si>
  <si>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</si>
  <si>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</si>
  <si>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</si>
  <si>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</si>
  <si>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</si>
  <si>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</si>
  <si>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</si>
  <si>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</si>
  <si>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</si>
  <si>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</si>
  <si>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</si>
  <si>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</si>
  <si>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</si>
  <si>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</si>
  <si>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</si>
  <si>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</si>
  <si>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</si>
  <si>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</si>
  <si>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</si>
  <si>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</si>
  <si>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</si>
  <si>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</si>
  <si>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</si>
  <si>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</si>
  <si>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</si>
  <si>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</si>
  <si>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</si>
  <si>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</si>
  <si>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</si>
  <si>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</si>
  <si>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</si>
  <si>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</si>
  <si>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</si>
  <si>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</si>
  <si>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</si>
  <si>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</si>
  <si>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</si>
  <si>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</si>
  <si>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</si>
  <si>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</si>
  <si>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</si>
  <si>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</si>
  <si>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</si>
  <si>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</si>
  <si>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</si>
  <si>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</si>
  <si>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</si>
  <si>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</si>
  <si>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</si>
  <si>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</si>
  <si>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</si>
  <si>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</si>
  <si>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</si>
  <si>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</si>
  <si>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</si>
  <si>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</si>
  <si>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</si>
  <si>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</si>
  <si>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</si>
  <si>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</si>
  <si>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</si>
  <si>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</si>
  <si>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</si>
  <si>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</si>
  <si>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</si>
  <si>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</si>
  <si>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</si>
  <si>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</si>
  <si>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</si>
  <si>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</si>
  <si>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</si>
  <si>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</si>
  <si>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</si>
  <si>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</si>
  <si>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</si>
  <si>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</si>
  <si>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</si>
  <si>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</si>
  <si>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</si>
  <si>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</si>
  <si>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</si>
  <si>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</si>
  <si>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</si>
  <si>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</si>
  <si>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</si>
  <si>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</si>
  <si>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</si>
  <si>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</si>
  <si>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</si>
  <si>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</si>
  <si>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</si>
  <si>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</si>
  <si>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</si>
  <si>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</si>
  <si>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</si>
  <si>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</si>
  <si>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</si>
  <si>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</si>
  <si>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</si>
  <si>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</si>
  <si>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</si>
  <si>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</si>
  <si>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</si>
  <si>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</si>
  <si>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</si>
  <si>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</si>
  <si>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</si>
  <si>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</si>
  <si>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</si>
  <si>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</si>
  <si>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</si>
  <si>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</si>
  <si>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</si>
  <si>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</si>
  <si>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</si>
  <si>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</si>
  <si>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</si>
  <si>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</si>
  <si>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</si>
  <si>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</si>
  <si>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</si>
  <si>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</si>
  <si>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</si>
  <si>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</si>
  <si>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</si>
  <si>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</si>
  <si>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</si>
  <si>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</si>
  <si>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</si>
  <si>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</si>
  <si>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</si>
  <si>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</si>
  <si>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</si>
  <si>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</si>
  <si>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</si>
  <si>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</si>
  <si>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</si>
  <si>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</si>
  <si>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</si>
  <si>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</si>
  <si>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</si>
  <si>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</si>
  <si>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</si>
  <si>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</si>
  <si>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</si>
  <si>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</si>
  <si>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</si>
  <si>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</si>
  <si>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</si>
  <si>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</si>
  <si>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</si>
  <si>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</si>
  <si>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</si>
  <si>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</si>
  <si>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</si>
  <si>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</si>
  <si>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</si>
  <si>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</si>
  <si>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</si>
  <si>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</si>
  <si>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</si>
  <si>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</si>
  <si>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</si>
  <si>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</si>
  <si>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</si>
  <si>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</si>
  <si>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</si>
  <si>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</si>
  <si>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</si>
  <si>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</si>
  <si>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</si>
  <si>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</si>
  <si>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</si>
  <si>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</si>
  <si>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</si>
  <si>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</si>
  <si>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</si>
  <si>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</si>
  <si>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</si>
  <si>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</si>
  <si>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</si>
  <si>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</si>
  <si>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</si>
  <si>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</si>
  <si>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</si>
  <si>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</si>
  <si>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</si>
  <si>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</si>
  <si>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</si>
  <si>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</si>
  <si>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</si>
  <si>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</si>
  <si>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</si>
  <si>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</si>
  <si>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</si>
  <si>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</si>
  <si>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</si>
  <si>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</si>
  <si>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</si>
  <si>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</si>
  <si>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</si>
  <si>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</si>
  <si>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</si>
  <si>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</si>
  <si>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</si>
  <si>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</si>
  <si>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</si>
  <si>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</si>
  <si>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</si>
  <si>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</si>
  <si>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</si>
  <si>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</si>
  <si>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</si>
  <si>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</si>
  <si>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</si>
  <si>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</si>
  <si>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</si>
  <si>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</si>
  <si>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</si>
  <si>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</si>
  <si>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</si>
  <si>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</si>
  <si>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</si>
  <si>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</si>
  <si>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</si>
  <si>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</si>
  <si>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</si>
  <si>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</si>
  <si>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</si>
  <si>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</si>
  <si>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</si>
  <si>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</si>
  <si>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</si>
  <si>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</si>
  <si>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</si>
  <si>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</si>
  <si>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</si>
  <si>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</si>
  <si>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</si>
  <si>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</si>
  <si>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</si>
  <si>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</si>
  <si>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</si>
  <si>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</si>
  <si>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</si>
  <si>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</si>
  <si>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</si>
  <si>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</si>
  <si>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</si>
  <si>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</si>
  <si>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</si>
  <si>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</si>
  <si>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</si>
  <si>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</si>
  <si>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</si>
  <si>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</si>
  <si>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</si>
  <si>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</si>
  <si>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</si>
  <si>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</si>
  <si>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</si>
  <si>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</si>
  <si>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</si>
  <si>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</si>
  <si>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</si>
  <si>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</si>
  <si>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</si>
  <si>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</si>
  <si>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</si>
  <si>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</si>
  <si>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</si>
  <si>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</si>
  <si>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</si>
  <si>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</si>
  <si>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</si>
  <si>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</si>
  <si>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</si>
  <si>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</si>
  <si>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</si>
  <si>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</si>
  <si>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</si>
  <si>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</si>
  <si>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</si>
  <si>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</si>
  <si>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</si>
  <si>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</si>
  <si>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</si>
  <si>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</si>
  <si>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</si>
  <si>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</si>
  <si>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</si>
  <si>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</si>
  <si>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</si>
  <si>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</si>
  <si>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</si>
  <si>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</si>
  <si>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</si>
  <si>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</si>
  <si>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</si>
  <si>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</si>
  <si>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</si>
  <si>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</si>
  <si>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</si>
  <si>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</si>
  <si>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</si>
  <si>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</si>
  <si>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</si>
  <si>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</si>
  <si>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</si>
  <si>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</si>
  <si>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</si>
  <si>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</si>
  <si>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</si>
  <si>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</si>
  <si>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</si>
  <si>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</si>
  <si>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</si>
  <si>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</si>
  <si>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</si>
  <si>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</si>
  <si>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</si>
  <si>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</si>
  <si>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</si>
  <si>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</si>
  <si>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</si>
  <si>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</si>
  <si>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</si>
  <si>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</si>
  <si>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</si>
  <si>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</si>
  <si>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</si>
  <si>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</si>
  <si>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</si>
  <si>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</si>
  <si>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</si>
  <si>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</si>
  <si>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</si>
  <si>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</si>
  <si>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</si>
  <si>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</si>
  <si>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</si>
  <si>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</si>
  <si>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</si>
  <si>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</si>
  <si>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</si>
  <si>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</si>
  <si>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</si>
  <si>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</si>
  <si>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</si>
  <si>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</si>
  <si>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</si>
  <si>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</si>
  <si>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</si>
  <si>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</si>
  <si>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</si>
  <si>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</si>
  <si>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</si>
  <si>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</si>
  <si>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</si>
  <si>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</si>
  <si>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</si>
  <si>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</si>
  <si>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</si>
  <si>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</si>
  <si>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</si>
  <si>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</si>
  <si>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</si>
  <si>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</si>
  <si>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</si>
  <si>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</si>
  <si>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</si>
  <si>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</si>
  <si>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</si>
  <si>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</si>
  <si>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</si>
  <si>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</si>
  <si>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</si>
  <si>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</si>
  <si>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</si>
  <si>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</si>
  <si>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</si>
  <si>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</si>
  <si>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</si>
  <si>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</si>
  <si>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</si>
  <si>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</si>
  <si>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</si>
  <si>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</si>
  <si>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</si>
  <si>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</si>
  <si>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</si>
  <si>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</si>
  <si>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</si>
  <si>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</si>
  <si>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</si>
  <si>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</si>
  <si>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</si>
  <si>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</si>
  <si>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</si>
  <si>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</si>
  <si>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</si>
  <si>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</si>
  <si>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</si>
  <si>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</si>
  <si>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</si>
  <si>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</si>
  <si>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</si>
  <si>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</si>
  <si>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</si>
  <si>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</si>
  <si>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</si>
  <si>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</si>
  <si>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</si>
  <si>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</si>
  <si>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</si>
  <si>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</si>
  <si>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</si>
  <si>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</si>
  <si>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</si>
  <si>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</si>
  <si>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</si>
  <si>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</si>
  <si>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</si>
  <si>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</si>
  <si>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</si>
  <si>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</si>
  <si>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</si>
  <si>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</si>
  <si>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</si>
  <si>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</si>
  <si>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</si>
  <si>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</si>
  <si>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</si>
  <si>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</si>
  <si>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</si>
  <si>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</si>
  <si>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</si>
  <si>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</si>
  <si>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</si>
  <si>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</si>
  <si>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</si>
  <si>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</si>
  <si>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</si>
  <si>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</si>
  <si>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</si>
  <si>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</si>
  <si>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</si>
  <si>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</si>
  <si>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</si>
  <si>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</si>
  <si>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</si>
  <si>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</si>
  <si>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</si>
  <si>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</si>
  <si>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</si>
  <si>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</si>
  <si>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</si>
  <si>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</si>
  <si>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</si>
  <si>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</si>
  <si>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</si>
  <si>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</si>
  <si>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</si>
  <si>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</si>
  <si>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Texas, Inc.</t>
  </si>
  <si>
    <t>Cigna Hlth Grp</t>
  </si>
  <si>
    <t>N/A</t>
  </si>
  <si>
    <t>00901</t>
  </si>
  <si>
    <t>2015</t>
  </si>
  <si>
    <t>1640 Dallas Parkway Plano, TX 75093</t>
  </si>
  <si>
    <t>742767437</t>
  </si>
  <si>
    <t>068828</t>
  </si>
  <si>
    <t>95383</t>
  </si>
  <si>
    <t>457</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</si>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</sst>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105524</v>
      </c>
      <c r="E5" s="213">
        <f ca="1">SUM('Pt 2 Premium and Claims'!E$5,'Pt 2 Premium and Claims'!E$6,-'Pt 2 Premium and Claims'!E$7,-'Pt 2 Premium and Claims'!E$13,'Pt 2 Premium and Claims'!E$14:'Pt 2 Premium and Claims'!E$17)</f>
        <v>105507</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979249</v>
      </c>
      <c r="K5" s="213">
        <f ca="1">SUM('Pt 2 Premium and Claims'!K$5,'Pt 2 Premium and Claims'!K$6,-'Pt 2 Premium and Claims'!K$7,-'Pt 2 Premium and Claims'!K$13,'Pt 2 Premium and Claims'!K$14,'Pt 2 Premium and Claims'!K$16:'Pt 2 Premium and Claims'!K$17)</f>
        <v>992038</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83081835</v>
      </c>
      <c r="Q5" s="213">
        <f>SUM('Pt 2 Premium and Claims'!Q$5,'Pt 2 Premium and Claims'!Q$6,-'Pt 2 Premium and Claims'!Q$7,-'Pt 2 Premium and Claims'!Q$13,'Pt 2 Premium and Claims'!Q$14)</f>
        <v>83441625</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395</v>
      </c>
      <c r="E7" s="217">
        <v>395</v>
      </c>
      <c r="F7" s="217"/>
      <c r="G7" s="217"/>
      <c r="H7" s="217"/>
      <c r="I7" s="216">
        <v>0</v>
      </c>
      <c r="J7" s="216">
        <v>3667</v>
      </c>
      <c r="K7" s="217">
        <v>3667</v>
      </c>
      <c r="L7" s="217"/>
      <c r="M7" s="217"/>
      <c r="N7" s="217"/>
      <c r="O7" s="216"/>
      <c r="P7" s="216">
        <v>311154</v>
      </c>
      <c r="Q7" s="217">
        <v>311154</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-1113164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455033</v>
      </c>
      <c r="E12" s="213">
        <f>'Pt 2 Premium and Claims'!E$54</f>
        <v>449487</v>
      </c>
      <c r="F12" s="213">
        <f>'Pt 2 Premium and Claims'!F$54</f>
        <v>0</v>
      </c>
      <c r="G12" s="213">
        <f>'Pt 2 Premium and Claims'!G$54</f>
        <v>0</v>
      </c>
      <c r="H12" s="213">
        <f>'Pt 2 Premium and Claims'!H$54</f>
        <v>0</v>
      </c>
      <c r="I12" s="212">
        <f>'Pt 2 Premium and Claims'!I$54</f>
        <v>0</v>
      </c>
      <c r="J12" s="212">
        <f>'Pt 2 Premium and Claims'!J$54</f>
        <v>972037</v>
      </c>
      <c r="K12" s="213">
        <f>'Pt 2 Premium and Claims'!K$54</f>
        <v>793211</v>
      </c>
      <c r="L12" s="213">
        <f>'Pt 2 Premium and Claims'!L$54</f>
        <v>0</v>
      </c>
      <c r="M12" s="213">
        <f>'Pt 2 Premium and Claims'!M$54</f>
        <v>0</v>
      </c>
      <c r="N12" s="213">
        <f>'Pt 2 Premium and Claims'!N$54</f>
        <v>0</v>
      </c>
      <c r="O12" s="212">
        <f>'Pt 2 Premium and Claims'!O$54</f>
        <v>0</v>
      </c>
      <c r="P12" s="212">
        <f>'Pt 2 Premium and Claims'!P$54</f>
        <v>69076863</v>
      </c>
      <c r="Q12" s="213">
        <f>'Pt 2 Premium and Claims'!Q$54</f>
        <v>66651719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308421</v>
      </c>
      <c r="E13" s="217">
        <v>306998</v>
      </c>
      <c r="F13" s="217"/>
      <c r="G13" s="268"/>
      <c r="H13" s="269"/>
      <c r="I13" s="216">
        <v>0</v>
      </c>
      <c r="J13" s="216">
        <v>160005</v>
      </c>
      <c r="K13" s="217">
        <v>124693</v>
      </c>
      <c r="L13" s="217"/>
      <c r="M13" s="268"/>
      <c r="N13" s="269"/>
      <c r="O13" s="216"/>
      <c r="P13" s="216">
        <v>11224614</v>
      </c>
      <c r="Q13" s="217">
        <v>11595518</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9</v>
      </c>
      <c r="E15" s="217">
        <v>9</v>
      </c>
      <c r="F15" s="217"/>
      <c r="G15" s="267"/>
      <c r="H15" s="273"/>
      <c r="I15" s="216">
        <v>0</v>
      </c>
      <c r="J15" s="216">
        <v>21</v>
      </c>
      <c r="K15" s="217">
        <v>21</v>
      </c>
      <c r="L15" s="217"/>
      <c r="M15" s="267"/>
      <c r="N15" s="273"/>
      <c r="O15" s="216"/>
      <c r="P15" s="216">
        <v>1410</v>
      </c>
      <c r="Q15" s="217">
        <v>1410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-3141054</v>
      </c>
      <c r="AU16" s="220">
        <v>0</v>
      </c>
      <c r="AV16" s="290"/>
      <c r="AW16" s="297"/>
    </row>
    <row r="17" spans="1:49" x14ac:dyDescent="0.2">
      <c r="B17" s="239" t="s">
        <v>234</v>
      </c>
      <c r="C17" s="203" t="s">
        <v>62</v>
      </c>
      <c r="D17" s="216">
        <v>2558</v>
      </c>
      <c r="E17" s="267"/>
      <c r="F17" s="270"/>
      <c r="G17" s="270"/>
      <c r="H17" s="270"/>
      <c r="I17" s="271"/>
      <c r="J17" s="216">
        <v>23735</v>
      </c>
      <c r="K17" s="267"/>
      <c r="L17" s="270"/>
      <c r="M17" s="270"/>
      <c r="N17" s="270"/>
      <c r="O17" s="271"/>
      <c r="P17" s="216">
        <v>2013708</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-239753</v>
      </c>
      <c r="E25" s="217">
        <v>-239753</v>
      </c>
      <c r="F25" s="217"/>
      <c r="G25" s="217"/>
      <c r="H25" s="217"/>
      <c r="I25" s="216">
        <v>0</v>
      </c>
      <c r="J25" s="216">
        <v>-109114</v>
      </c>
      <c r="K25" s="217">
        <v>-109114</v>
      </c>
      <c r="L25" s="217"/>
      <c r="M25" s="217"/>
      <c r="N25" s="217"/>
      <c r="O25" s="216"/>
      <c r="P25" s="216">
        <v>-26242</v>
      </c>
      <c r="Q25" s="217">
        <v>-26242</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1233475</v>
      </c>
      <c r="AU25" s="220">
        <v>0</v>
      </c>
      <c r="AV25" s="220">
        <v>0</v>
      </c>
      <c r="AW25" s="297"/>
    </row>
    <row r="26" spans="1:49" s="5" customFormat="1" x14ac:dyDescent="0.2">
      <c r="A26" s="35"/>
      <c r="B26" s="242" t="s">
        <v>242</v>
      </c>
      <c r="C26" s="203"/>
      <c r="D26" s="216">
        <v>66</v>
      </c>
      <c r="E26" s="217">
        <v>66</v>
      </c>
      <c r="F26" s="217"/>
      <c r="G26" s="217"/>
      <c r="H26" s="217"/>
      <c r="I26" s="216">
        <v>0</v>
      </c>
      <c r="J26" s="216">
        <v>358</v>
      </c>
      <c r="K26" s="217">
        <v>358</v>
      </c>
      <c r="L26" s="217"/>
      <c r="M26" s="217"/>
      <c r="N26" s="217"/>
      <c r="O26" s="216"/>
      <c r="P26" s="216">
        <v>55406</v>
      </c>
      <c r="Q26" s="217">
        <v>55406</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4256</v>
      </c>
      <c r="E27" s="217">
        <v>4256</v>
      </c>
      <c r="F27" s="217"/>
      <c r="G27" s="217"/>
      <c r="H27" s="217"/>
      <c r="I27" s="216">
        <v>0</v>
      </c>
      <c r="J27" s="216">
        <v>21380</v>
      </c>
      <c r="K27" s="217">
        <v>21380</v>
      </c>
      <c r="L27" s="217"/>
      <c r="M27" s="217"/>
      <c r="N27" s="217"/>
      <c r="O27" s="216"/>
      <c r="P27" s="216">
        <v>1565109</v>
      </c>
      <c r="Q27" s="217">
        <v>1565109</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536</v>
      </c>
      <c r="E28" s="217">
        <v>536</v>
      </c>
      <c r="F28" s="217"/>
      <c r="G28" s="217"/>
      <c r="H28" s="217"/>
      <c r="I28" s="216">
        <v>0</v>
      </c>
      <c r="J28" s="216">
        <v>2692</v>
      </c>
      <c r="K28" s="217">
        <v>2692</v>
      </c>
      <c r="L28" s="217"/>
      <c r="M28" s="217"/>
      <c r="N28" s="217"/>
      <c r="O28" s="216"/>
      <c r="P28" s="216">
        <v>197100</v>
      </c>
      <c r="Q28" s="217">
        <v>197100</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v>
      </c>
      <c r="E30" s="217">
        <v>65</v>
      </c>
      <c r="F30" s="217"/>
      <c r="G30" s="217"/>
      <c r="H30" s="217"/>
      <c r="I30" s="216">
        <v>0</v>
      </c>
      <c r="J30" s="216">
        <v>564</v>
      </c>
      <c r="K30" s="217">
        <v>564</v>
      </c>
      <c r="L30" s="217"/>
      <c r="M30" s="217"/>
      <c r="N30" s="217"/>
      <c r="O30" s="216"/>
      <c r="P30" s="216">
        <v>47292</v>
      </c>
      <c r="Q30" s="217">
        <v>47292</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2200</v>
      </c>
      <c r="E31" s="217">
        <v>2200</v>
      </c>
      <c r="F31" s="217"/>
      <c r="G31" s="217"/>
      <c r="H31" s="217"/>
      <c r="I31" s="216">
        <v>0</v>
      </c>
      <c r="J31" s="216">
        <v>20420</v>
      </c>
      <c r="K31" s="217">
        <v>20420</v>
      </c>
      <c r="L31" s="217"/>
      <c r="M31" s="217"/>
      <c r="N31" s="217"/>
      <c r="O31" s="216"/>
      <c r="P31" s="216">
        <v>1732459</v>
      </c>
      <c r="Q31" s="217">
        <v>1732459</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1426</v>
      </c>
      <c r="E34" s="217">
        <v>1426</v>
      </c>
      <c r="F34" s="217"/>
      <c r="G34" s="217"/>
      <c r="H34" s="217"/>
      <c r="I34" s="216">
        <v>0</v>
      </c>
      <c r="J34" s="216">
        <v>7585</v>
      </c>
      <c r="K34" s="217">
        <v>7585</v>
      </c>
      <c r="L34" s="217"/>
      <c r="M34" s="217"/>
      <c r="N34" s="217"/>
      <c r="O34" s="216"/>
      <c r="P34" s="216">
        <v>513087</v>
      </c>
      <c r="Q34" s="217">
        <v>513087</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35</v>
      </c>
      <c r="E35" s="217">
        <v>35</v>
      </c>
      <c r="F35" s="217"/>
      <c r="G35" s="217"/>
      <c r="H35" s="217"/>
      <c r="I35" s="216">
        <v>0</v>
      </c>
      <c r="J35" s="216">
        <v>176</v>
      </c>
      <c r="K35" s="217">
        <v>176</v>
      </c>
      <c r="L35" s="217"/>
      <c r="M35" s="217"/>
      <c r="N35" s="217"/>
      <c r="O35" s="216"/>
      <c r="P35" s="216">
        <v>12914</v>
      </c>
      <c r="Q35" s="217">
        <v>12914</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v>
      </c>
      <c r="E37" s="225">
        <v>402</v>
      </c>
      <c r="F37" s="225"/>
      <c r="G37" s="225"/>
      <c r="H37" s="225"/>
      <c r="I37" s="224">
        <v>0</v>
      </c>
      <c r="J37" s="224">
        <v>677</v>
      </c>
      <c r="K37" s="225">
        <v>787</v>
      </c>
      <c r="L37" s="225"/>
      <c r="M37" s="225"/>
      <c r="N37" s="225"/>
      <c r="O37" s="224"/>
      <c r="P37" s="224">
        <v>54100</v>
      </c>
      <c r="Q37" s="225">
        <v>63143</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55</v>
      </c>
      <c r="E38" s="217">
        <v>118</v>
      </c>
      <c r="F38" s="217"/>
      <c r="G38" s="217"/>
      <c r="H38" s="217"/>
      <c r="I38" s="216">
        <v>0</v>
      </c>
      <c r="J38" s="216">
        <v>345</v>
      </c>
      <c r="K38" s="217">
        <v>347</v>
      </c>
      <c r="L38" s="217"/>
      <c r="M38" s="217"/>
      <c r="N38" s="217"/>
      <c r="O38" s="216"/>
      <c r="P38" s="216">
        <v>29778</v>
      </c>
      <c r="Q38" s="217">
        <v>30237</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5</v>
      </c>
      <c r="E39" s="217">
        <v>1105</v>
      </c>
      <c r="F39" s="217"/>
      <c r="G39" s="217"/>
      <c r="H39" s="217"/>
      <c r="I39" s="216">
        <v>0</v>
      </c>
      <c r="J39" s="216">
        <v>93</v>
      </c>
      <c r="K39" s="217">
        <v>3318</v>
      </c>
      <c r="L39" s="217"/>
      <c r="M39" s="217"/>
      <c r="N39" s="217"/>
      <c r="O39" s="216"/>
      <c r="P39" s="216">
        <v>11344</v>
      </c>
      <c r="Q39" s="217">
        <v>264763</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24</v>
      </c>
      <c r="E40" s="217">
        <v>24</v>
      </c>
      <c r="F40" s="217"/>
      <c r="G40" s="217"/>
      <c r="H40" s="217"/>
      <c r="I40" s="216">
        <v>0</v>
      </c>
      <c r="J40" s="216">
        <v>188</v>
      </c>
      <c r="K40" s="217">
        <v>180</v>
      </c>
      <c r="L40" s="217"/>
      <c r="M40" s="217"/>
      <c r="N40" s="217"/>
      <c r="O40" s="216"/>
      <c r="P40" s="216">
        <v>18306</v>
      </c>
      <c r="Q40" s="217">
        <v>17911</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48</v>
      </c>
      <c r="E41" s="217">
        <v>66</v>
      </c>
      <c r="F41" s="217"/>
      <c r="G41" s="217"/>
      <c r="H41" s="217"/>
      <c r="I41" s="216">
        <v>0</v>
      </c>
      <c r="J41" s="216">
        <v>308</v>
      </c>
      <c r="K41" s="217">
        <v>303</v>
      </c>
      <c r="L41" s="217"/>
      <c r="M41" s="217"/>
      <c r="N41" s="217"/>
      <c r="O41" s="216"/>
      <c r="P41" s="216">
        <v>27079</v>
      </c>
      <c r="Q41" s="217">
        <v>26973</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2</v>
      </c>
      <c r="E42" s="217">
        <v>2</v>
      </c>
      <c r="F42" s="217"/>
      <c r="G42" s="217"/>
      <c r="H42" s="217"/>
      <c r="I42" s="216">
        <v>0</v>
      </c>
      <c r="J42" s="216">
        <v>9</v>
      </c>
      <c r="K42" s="217">
        <v>9</v>
      </c>
      <c r="L42" s="217"/>
      <c r="M42" s="217"/>
      <c r="N42" s="217"/>
      <c r="O42" s="216"/>
      <c r="P42" s="216">
        <v>686</v>
      </c>
      <c r="Q42" s="217">
        <v>686</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1342</v>
      </c>
      <c r="E44" s="225">
        <v>13094</v>
      </c>
      <c r="F44" s="225"/>
      <c r="G44" s="225"/>
      <c r="H44" s="225"/>
      <c r="I44" s="224">
        <v>0</v>
      </c>
      <c r="J44" s="224">
        <v>6742</v>
      </c>
      <c r="K44" s="225">
        <v>27955</v>
      </c>
      <c r="L44" s="225"/>
      <c r="M44" s="225"/>
      <c r="N44" s="225"/>
      <c r="O44" s="224"/>
      <c r="P44" s="224">
        <v>493576</v>
      </c>
      <c r="Q44" s="225">
        <v>1660387</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1098</v>
      </c>
      <c r="E45" s="217">
        <v>1098</v>
      </c>
      <c r="F45" s="217"/>
      <c r="G45" s="217"/>
      <c r="H45" s="217"/>
      <c r="I45" s="216">
        <v>0</v>
      </c>
      <c r="J45" s="216">
        <v>5517</v>
      </c>
      <c r="K45" s="217">
        <v>5517</v>
      </c>
      <c r="L45" s="217"/>
      <c r="M45" s="217"/>
      <c r="N45" s="217"/>
      <c r="O45" s="216"/>
      <c r="P45" s="216">
        <v>403906</v>
      </c>
      <c r="Q45" s="217">
        <v>403906</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260</v>
      </c>
      <c r="E46" s="217">
        <v>260</v>
      </c>
      <c r="F46" s="217"/>
      <c r="G46" s="217"/>
      <c r="H46" s="217"/>
      <c r="I46" s="216">
        <v>0</v>
      </c>
      <c r="J46" s="216">
        <v>1306</v>
      </c>
      <c r="K46" s="217">
        <v>1306</v>
      </c>
      <c r="L46" s="217"/>
      <c r="M46" s="217"/>
      <c r="N46" s="217"/>
      <c r="O46" s="216"/>
      <c r="P46" s="216">
        <v>95623</v>
      </c>
      <c r="Q46" s="217">
        <v>95623</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9716</v>
      </c>
      <c r="E47" s="217">
        <v>9716</v>
      </c>
      <c r="F47" s="217"/>
      <c r="G47" s="217"/>
      <c r="H47" s="217"/>
      <c r="I47" s="216">
        <v>0</v>
      </c>
      <c r="J47" s="216">
        <v>-8524</v>
      </c>
      <c r="K47" s="217">
        <v>-8524</v>
      </c>
      <c r="L47" s="217"/>
      <c r="M47" s="217"/>
      <c r="N47" s="217"/>
      <c r="O47" s="216"/>
      <c r="P47" s="216">
        <v>-723194</v>
      </c>
      <c r="Q47" s="217">
        <v>-723194</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c r="G49" s="217"/>
      <c r="H49" s="217"/>
      <c r="I49" s="216">
        <v>0</v>
      </c>
      <c r="J49" s="216">
        <v>38</v>
      </c>
      <c r="K49" s="217">
        <v>38</v>
      </c>
      <c r="L49" s="217"/>
      <c r="M49" s="217"/>
      <c r="N49" s="217"/>
      <c r="O49" s="216"/>
      <c r="P49" s="216">
        <v>2745</v>
      </c>
      <c r="Q49" s="217">
        <v>2745</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38</v>
      </c>
      <c r="E50" s="217">
        <v>38</v>
      </c>
      <c r="F50" s="217"/>
      <c r="G50" s="217"/>
      <c r="H50" s="217"/>
      <c r="I50" s="216">
        <v>0</v>
      </c>
      <c r="J50" s="216">
        <v>192</v>
      </c>
      <c r="K50" s="217">
        <v>192</v>
      </c>
      <c r="L50" s="217"/>
      <c r="M50" s="217"/>
      <c r="N50" s="217"/>
      <c r="O50" s="216"/>
      <c r="P50" s="216">
        <v>14033</v>
      </c>
      <c r="Q50" s="217">
        <v>14033</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25448</v>
      </c>
      <c r="E51" s="217">
        <v>25448</v>
      </c>
      <c r="F51" s="217"/>
      <c r="G51" s="217"/>
      <c r="H51" s="217"/>
      <c r="I51" s="216">
        <v>0</v>
      </c>
      <c r="J51" s="216">
        <v>127848</v>
      </c>
      <c r="K51" s="217">
        <v>127848</v>
      </c>
      <c r="L51" s="217"/>
      <c r="M51" s="217"/>
      <c r="N51" s="217"/>
      <c r="O51" s="216"/>
      <c r="P51" s="216">
        <v>9359319</v>
      </c>
      <c r="Q51" s="217">
        <v>9359319</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5</v>
      </c>
      <c r="E53" s="217">
        <v>5</v>
      </c>
      <c r="F53" s="217"/>
      <c r="G53" s="268"/>
      <c r="H53" s="268"/>
      <c r="I53" s="216">
        <v>0</v>
      </c>
      <c r="J53" s="216">
        <v>25</v>
      </c>
      <c r="K53" s="217">
        <v>25</v>
      </c>
      <c r="L53" s="217"/>
      <c r="M53" s="268"/>
      <c r="N53" s="268"/>
      <c r="O53" s="216">
        <v>0</v>
      </c>
      <c r="P53" s="216">
        <v>1868</v>
      </c>
      <c r="Q53" s="217">
        <v>1868</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v>
      </c>
      <c r="E56" s="229">
        <v>24</v>
      </c>
      <c r="F56" s="229"/>
      <c r="G56" s="229"/>
      <c r="H56" s="229"/>
      <c r="I56" s="228">
        <v>0</v>
      </c>
      <c r="J56" s="228">
        <v>90</v>
      </c>
      <c r="K56" s="229">
        <v>90</v>
      </c>
      <c r="L56" s="229"/>
      <c r="M56" s="229"/>
      <c r="N56" s="229"/>
      <c r="O56" s="228"/>
      <c r="P56" s="228">
        <v>4999</v>
      </c>
      <c r="Q56" s="229">
        <v>4999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30</v>
      </c>
      <c r="E57" s="232">
        <v>30</v>
      </c>
      <c r="F57" s="232"/>
      <c r="G57" s="232"/>
      <c r="H57" s="232"/>
      <c r="I57" s="231">
        <v>0</v>
      </c>
      <c r="J57" s="231">
        <v>115</v>
      </c>
      <c r="K57" s="232">
        <v>115</v>
      </c>
      <c r="L57" s="232"/>
      <c r="M57" s="232"/>
      <c r="N57" s="232"/>
      <c r="O57" s="231"/>
      <c r="P57" s="231">
        <v>11746</v>
      </c>
      <c r="Q57" s="232">
        <v>11746</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v>
      </c>
      <c r="K58" s="232">
        <v>7</v>
      </c>
      <c r="L58" s="232"/>
      <c r="M58" s="232"/>
      <c r="N58" s="232"/>
      <c r="O58" s="231"/>
      <c r="P58" s="231">
        <v>47</v>
      </c>
      <c r="Q58" s="232">
        <v>47</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376</v>
      </c>
      <c r="E59" s="232">
        <v>376</v>
      </c>
      <c r="F59" s="232"/>
      <c r="G59" s="232"/>
      <c r="H59" s="232"/>
      <c r="I59" s="231">
        <v>0</v>
      </c>
      <c r="J59" s="231">
        <v>1889</v>
      </c>
      <c r="K59" s="232">
        <v>1889</v>
      </c>
      <c r="L59" s="232"/>
      <c r="M59" s="232"/>
      <c r="N59" s="232"/>
      <c r="O59" s="231"/>
      <c r="P59" s="231">
        <v>138286</v>
      </c>
      <c r="Q59" s="232">
        <v>138286</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31.333333333333332</v>
      </c>
      <c r="E60" s="235">
        <f t="shared" si="0"/>
        <v>31.333333333333332</v>
      </c>
      <c r="F60" s="235">
        <f t="shared" si="0"/>
        <v>0</v>
      </c>
      <c r="G60" s="235">
        <f t="shared" si="0"/>
        <v>0</v>
      </c>
      <c r="H60" s="235">
        <f t="shared" si="0"/>
        <v>0</v>
      </c>
      <c r="I60" s="234">
        <f t="shared" si="0"/>
        <v>0</v>
      </c>
      <c r="J60" s="234">
        <f t="shared" si="0"/>
        <v>157.41666666666666</v>
      </c>
      <c r="K60" s="235">
        <f t="shared" si="0"/>
        <v>157.41666666666666</v>
      </c>
      <c r="L60" s="235">
        <f t="shared" si="0"/>
        <v>0</v>
      </c>
      <c r="M60" s="235">
        <f t="shared" si="0"/>
        <v>0</v>
      </c>
      <c r="N60" s="235">
        <f t="shared" si="0"/>
        <v>0</v>
      </c>
      <c r="O60" s="234">
        <f t="shared" si="0"/>
        <v>0</v>
      </c>
      <c r="P60" s="234">
        <f t="shared" si="0"/>
        <v>11523.833333333334</v>
      </c>
      <c r="Q60" s="235">
        <f t="shared" si="0"/>
        <v>11523.833333333334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509933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72114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105529</v>
      </c>
      <c r="E5" s="326">
        <v>105512</v>
      </c>
      <c r="F5" s="326"/>
      <c r="G5" s="328"/>
      <c r="H5" s="328"/>
      <c r="I5" s="325">
        <v>0</v>
      </c>
      <c r="J5" s="325">
        <v>1017234</v>
      </c>
      <c r="K5" s="326">
        <v>1019696</v>
      </c>
      <c r="L5" s="326"/>
      <c r="M5" s="326"/>
      <c r="N5" s="326"/>
      <c r="O5" s="325"/>
      <c r="P5" s="325">
        <v>83047717</v>
      </c>
      <c r="Q5" s="326">
        <v>83442210</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5</v>
      </c>
      <c r="E13" s="319">
        <v>5</v>
      </c>
      <c r="F13" s="319"/>
      <c r="G13" s="319"/>
      <c r="H13" s="319"/>
      <c r="I13" s="318">
        <v>0</v>
      </c>
      <c r="J13" s="318">
        <v>37985</v>
      </c>
      <c r="K13" s="319">
        <v>27658</v>
      </c>
      <c r="L13" s="319"/>
      <c r="M13" s="319"/>
      <c r="N13" s="319"/>
      <c r="O13" s="318"/>
      <c r="P13" s="318">
        <v>-34118</v>
      </c>
      <c r="Q13" s="319">
        <v>585</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453758</v>
      </c>
      <c r="E23" s="362"/>
      <c r="F23" s="362"/>
      <c r="G23" s="362"/>
      <c r="H23" s="362"/>
      <c r="I23" s="364"/>
      <c r="J23" s="318">
        <v>998857</v>
      </c>
      <c r="K23" s="362"/>
      <c r="L23" s="362"/>
      <c r="M23" s="362"/>
      <c r="N23" s="362"/>
      <c r="O23" s="364"/>
      <c r="P23" s="318">
        <v>67620743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448783</v>
      </c>
      <c r="F24" s="319"/>
      <c r="G24" s="319"/>
      <c r="H24" s="319"/>
      <c r="I24" s="318">
        <v>0</v>
      </c>
      <c r="J24" s="365"/>
      <c r="K24" s="319">
        <v>786768</v>
      </c>
      <c r="L24" s="319"/>
      <c r="M24" s="319"/>
      <c r="N24" s="319"/>
      <c r="O24" s="318"/>
      <c r="P24" s="365"/>
      <c r="Q24" s="319">
        <v>65616463</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7990</v>
      </c>
      <c r="E26" s="362"/>
      <c r="F26" s="362"/>
      <c r="G26" s="362"/>
      <c r="H26" s="362"/>
      <c r="I26" s="364"/>
      <c r="J26" s="318">
        <v>74142</v>
      </c>
      <c r="K26" s="362"/>
      <c r="L26" s="362"/>
      <c r="M26" s="362"/>
      <c r="N26" s="362"/>
      <c r="O26" s="364"/>
      <c r="P26" s="318">
        <v>6290382</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693</v>
      </c>
      <c r="F27" s="319"/>
      <c r="G27" s="319"/>
      <c r="H27" s="319"/>
      <c r="I27" s="318">
        <v>0</v>
      </c>
      <c r="J27" s="365"/>
      <c r="K27" s="319">
        <v>6430</v>
      </c>
      <c r="L27" s="319"/>
      <c r="M27" s="319"/>
      <c r="N27" s="319"/>
      <c r="O27" s="318"/>
      <c r="P27" s="365"/>
      <c r="Q27" s="319">
        <v>545564</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6726</v>
      </c>
      <c r="E28" s="363"/>
      <c r="F28" s="363"/>
      <c r="G28" s="363"/>
      <c r="H28" s="363"/>
      <c r="I28" s="365"/>
      <c r="J28" s="318">
        <v>100975</v>
      </c>
      <c r="K28" s="363"/>
      <c r="L28" s="363"/>
      <c r="M28" s="363"/>
      <c r="N28" s="363"/>
      <c r="O28" s="365"/>
      <c r="P28" s="318">
        <v>5380065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69</v>
      </c>
      <c r="E34" s="362"/>
      <c r="F34" s="362"/>
      <c r="G34" s="362"/>
      <c r="H34" s="362"/>
      <c r="I34" s="364"/>
      <c r="J34" s="318">
        <v>644</v>
      </c>
      <c r="K34" s="362"/>
      <c r="L34" s="362"/>
      <c r="M34" s="362"/>
      <c r="N34" s="362"/>
      <c r="O34" s="364"/>
      <c r="P34" s="318">
        <v>54656</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69</v>
      </c>
      <c r="F35" s="319"/>
      <c r="G35" s="319"/>
      <c r="H35" s="319"/>
      <c r="I35" s="318">
        <v>0</v>
      </c>
      <c r="J35" s="365"/>
      <c r="K35" s="319">
        <v>644</v>
      </c>
      <c r="L35" s="319"/>
      <c r="M35" s="319"/>
      <c r="N35" s="319"/>
      <c r="O35" s="318"/>
      <c r="P35" s="365"/>
      <c r="Q35" s="319">
        <v>54656</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58</v>
      </c>
      <c r="E36" s="319">
        <v>58</v>
      </c>
      <c r="F36" s="319"/>
      <c r="G36" s="319"/>
      <c r="H36" s="319"/>
      <c r="I36" s="318">
        <v>0</v>
      </c>
      <c r="J36" s="318">
        <v>868</v>
      </c>
      <c r="K36" s="319">
        <v>868</v>
      </c>
      <c r="L36" s="319"/>
      <c r="M36" s="319"/>
      <c r="N36" s="319"/>
      <c r="O36" s="318"/>
      <c r="P36" s="318">
        <v>46254</v>
      </c>
      <c r="Q36" s="319">
        <v>46254</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237</v>
      </c>
      <c r="K45" s="319">
        <v>237</v>
      </c>
      <c r="L45" s="319"/>
      <c r="M45" s="319"/>
      <c r="N45" s="319"/>
      <c r="O45" s="318"/>
      <c r="P45" s="318">
        <v>830021</v>
      </c>
      <c r="Q45" s="319">
        <v>86070</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946900</v>
      </c>
      <c r="Q46" s="319">
        <v>395220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1239520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455033</v>
      </c>
      <c r="E54" s="323">
        <f>E24+E27+E31+E35-E36+E39+E42+E45+E46-E49+E51+E52+E53</f>
        <v>449487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972037</v>
      </c>
      <c r="K54" s="323">
        <f>K24+K27+K31+K35-K36+K39+K42+K45+K46-K49+K51+K52+K53</f>
        <v>793211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69076863</v>
      </c>
      <c r="Q54" s="323">
        <f>Q24+Q27+Q31+Q35-Q36+Q39+Q42+Q45+Q46-Q49+Q51+Q52+Q53</f>
        <v>66651719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411672</v>
      </c>
      <c r="D6" s="398">
        <v>406389</v>
      </c>
      <c r="E6" s="400">
        <f>SUM('Pt 1 Summary of Data'!E$12,'Pt 1 Summary of Data'!E$22)+SUM('Pt 1 Summary of Data'!G$12,'Pt 1 Summary of Data'!G$22)-SUM('Pt 1 Summary of Data'!H$12,'Pt 1 Summary of Data'!H$22)</f>
        <v>449487</v>
      </c>
      <c r="F6" s="400">
        <f t="shared" ref="F6:F11" si="0">SUM(C6:E6)</f>
        <v>1267548</v>
      </c>
      <c r="G6" s="401">
        <f>SUM('Pt 1 Summary of Data'!I$12,'Pt 1 Summary of Data'!I$22)</f>
        <v>0</v>
      </c>
      <c r="H6" s="397">
        <v>1736146</v>
      </c>
      <c r="I6" s="398">
        <v>1244903</v>
      </c>
      <c r="J6" s="400">
        <f>SUM('Pt 1 Summary of Data'!K$12,'Pt 1 Summary of Data'!K$22)+SUM('Pt 1 Summary of Data'!M$12,'Pt 1 Summary of Data'!M$22)-SUM('Pt 1 Summary of Data'!N$12,'Pt 1 Summary of Data'!N$22)</f>
        <v>793211</v>
      </c>
      <c r="K6" s="400">
        <f>SUM(H6:J6)</f>
        <v>3774260</v>
      </c>
      <c r="L6" s="401">
        <f>SUM('Pt 1 Summary of Data'!O$12,'Pt 1 Summary of Data'!O$22)</f>
        <v>0</v>
      </c>
      <c r="M6" s="397">
        <v>83704178</v>
      </c>
      <c r="N6" s="398">
        <v>70760875</v>
      </c>
      <c r="O6" s="400">
        <f>SUM('Pt 1 Summary of Data'!Q$12,'Pt 1 Summary of Data'!Q$22)+SUM('Pt 1 Summary of Data'!S$12,'Pt 1 Summary of Data'!S$22)-SUM('Pt 1 Summary of Data'!T$12,'Pt 1 Summary of Data'!T$22)</f>
        <v>66651719</v>
      </c>
      <c r="P6" s="400">
        <f>SUM(M6:O6)</f>
        <v>221116772</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1140</v>
      </c>
      <c r="D7" s="398">
        <v>1557</v>
      </c>
      <c r="E7" s="400">
        <f ca="1">SUM('Pt 1 Summary of Data'!E$37:E$41)+SUM('Pt 1 Summary of Data'!G$37:G$41)-SUM('Pt 1 Summary of Data'!H$37:H$41)+MAX(0,MIN('Pt 1 Summary of Data'!E$42+'Pt 1 Summary of Data'!G$42-'Pt 1 Summary of Data'!H$42,0.3%*('Pt 1 Summary of Data'!E$5+'Pt 1 Summary of Data'!G$5-'Pt 1 Summary of Data'!H$5-SUM(E$9:E$11))))</f>
        <v>1717</v>
      </c>
      <c r="F7" s="400">
        <f t="shared" ca="1" si="0"/>
        <v>4414</v>
      </c>
      <c r="G7" s="401">
        <f ca="1">SUM('Pt 1 Summary of Data'!I$37:I$41)+MAX(0,MIN(VALUE('Pt 1 Summary of Data'!I$42),0.3%*('Pt 1 Summary of Data'!I$5-SUM(G$9:G$10))))</f>
        <v>0</v>
      </c>
      <c r="H7" s="397">
        <v>4370</v>
      </c>
      <c r="I7" s="398">
        <v>7434</v>
      </c>
      <c r="J7" s="400">
        <f ca="1">SUM('Pt 1 Summary of Data'!K$37:K$41)+SUM('Pt 1 Summary of Data'!M$37:M$41)-SUM('Pt 1 Summary of Data'!N$37:N$41)+MAX(0,MIN('Pt 1 Summary of Data'!K$42+'Pt 1 Summary of Data'!M$42-'Pt 1 Summary of Data'!N$42,0.3%*('Pt 1 Summary of Data'!K$5+'Pt 1 Summary of Data'!M$5-'Pt 1 Summary of Data'!N$5-SUM(J$10:J$11))))</f>
        <v>4944</v>
      </c>
      <c r="K7" s="400">
        <f ca="1">SUM(H7:J7)</f>
        <v>16748</v>
      </c>
      <c r="L7" s="401">
        <f>SUM('Pt 1 Summary of Data'!O$37:O$41)+MAX(0,MIN(VALUE('Pt 1 Summary of Data'!O$42),0.3%*('Pt 1 Summary of Data'!O$5-L$10)))</f>
        <v>0</v>
      </c>
      <c r="M7" s="397">
        <v>280222</v>
      </c>
      <c r="N7" s="398">
        <v>444153</v>
      </c>
      <c r="O7" s="400">
        <f>SUM('Pt 1 Summary of Data'!Q$37:Q$41)+SUM('Pt 1 Summary of Data'!S$37:S$41)-SUM('Pt 1 Summary of Data'!T$37:T$41)+MAX(0,MIN('Pt 1 Summary of Data'!Q$42+'Pt 1 Summary of Data'!S$42-'Pt 1 Summary of Data'!T$42,0.3%*('Pt 1 Summary of Data'!Q$5+'Pt 1 Summary of Data'!S$5-'Pt 1 Summary of Data'!T$5)))</f>
        <v>403713</v>
      </c>
      <c r="P7" s="400">
        <f>SUM(M7:O7)</f>
        <v>1128088</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412812</v>
      </c>
      <c r="D12" s="400">
        <f ca="1">SUM(D$6:D$7) - SUM(D$8:D$11)+IF(AND(OR('Company Information'!$C$12="District of Columbia",'Company Information'!$C$12="Massachusetts",'Company Information'!$C$12="Vermont"),SUM($C$6:$F$11,$C$15:$F$16,$C$38:$D$38)&lt;&gt;0),SUM(I$6:I$7) - SUM(I$10:I$11),0)</f>
        <v>407946</v>
      </c>
      <c r="E12" s="400">
        <f ca="1">SUM(E$6:E$7)-SUM(E$8:E$11)+IF(AND(OR('Company Information'!$C$12="District of Columbia",'Company Information'!$C$12="Massachusetts",'Company Information'!$C$12="Vermont"),SUM($C$6:$F$11,$C$15:$F$16,$C$38:$D$38)&lt;&gt;0),SUM(J$6:J$7)-SUM(J$10:J$11),0)</f>
        <v>451204</v>
      </c>
      <c r="F12" s="400">
        <f ca="1">IFERROR(SUM(C$12:E$12)+C$17*MAX(0,E$50-C$50)+D$17*MAX(0,E$50-D$50),0)</f>
        <v>1271962</v>
      </c>
      <c r="G12" s="447"/>
      <c r="H12" s="399">
        <f ca="1">SUM(H$6:H$7)+IF(AND(OR('Company Information'!$C$12="District of Columbia",'Company Information'!$C$12="Massachusetts",'Company Information'!$C$12="Vermont"),SUM($H$6:$K$11,$H$15:$K$16,$H$38:$I$38)&lt;&gt;0),SUM(C$6:C$7),0)</f>
        <v>1740516</v>
      </c>
      <c r="I12" s="400">
        <f ca="1">SUM(I$6:I$7) - SUM(I$10:I$11)+IF(AND(OR('Company Information'!$C$12="District of Columbia",'Company Information'!$C$12="Massachusetts",'Company Information'!$C$12="Vermont"),SUM($H$6:$K$11,$H$15:$K$16,$H$38:$I$38)&lt;&gt;0),SUM(D$6:D$7) - SUM(D$8:D$11),0)</f>
        <v>1252337</v>
      </c>
      <c r="J12" s="400">
        <f ca="1">SUM(J$6:J$7)-SUM(J$10:J$11)+IF(AND(OR('Company Information'!$C$12="District of Columbia",'Company Information'!$C$12="Massachusetts",'Company Information'!$C$12="Vermont"),SUM($H$6:$K$11,$H$15:$K$16,$H$38:$I$38)&lt;&gt;0),SUM(E$6:E$7)-SUM(E$8:E$11),0)</f>
        <v>798155</v>
      </c>
      <c r="K12" s="400">
        <f ca="1">IFERROR(SUM(H$12:J$12)+H$17*MAX(0,J$50-H$50)+I$17*MAX(0,J$50-I$50),0)</f>
        <v>3791008</v>
      </c>
      <c r="L12" s="447"/>
      <c r="M12" s="399">
        <f>SUM(M$6:M$7)</f>
        <v>83984400</v>
      </c>
      <c r="N12" s="400">
        <f>SUM(N$6:N$7)</f>
        <v>71205028</v>
      </c>
      <c r="O12" s="400">
        <f>SUM(O$6:O$7)</f>
        <v>67055432</v>
      </c>
      <c r="P12" s="400">
        <f>SUM(M$12:O$12)+M$17*MAX(0,O$50-M$50)+N$17*MAX(0,O$50-N$50)</f>
        <v>222244860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132484</v>
      </c>
      <c r="D15" s="403">
        <v>110879</v>
      </c>
      <c r="E15" s="395">
        <f ca="1">SUM('Pt 1 Summary of Data'!E$5:E$7)+SUM('Pt 1 Summary of Data'!G$5:G$7)-SUM('Pt 1 Summary of Data'!H$5:H$7)-SUM(E$9:E$11)</f>
        <v>105902</v>
      </c>
      <c r="F15" s="395">
        <f ca="1">SUM(C15:E15)</f>
        <v>349265</v>
      </c>
      <c r="G15" s="396">
        <f ca="1">SUM('Pt 1 Summary of Data'!I$5:I$7)-SUM(G$9:G$10)</f>
        <v>0</v>
      </c>
      <c r="H15" s="402">
        <v>2467024</v>
      </c>
      <c r="I15" s="403">
        <v>1603777</v>
      </c>
      <c r="J15" s="395">
        <f ca="1">SUM('Pt 1 Summary of Data'!K$5:K$7)+SUM('Pt 1 Summary of Data'!M$5:M$7)-SUM('Pt 1 Summary of Data'!N$5:N$7)-SUM(J$10:J$11)</f>
        <v>995705</v>
      </c>
      <c r="K15" s="395">
        <f ca="1">SUM(H15:J15)</f>
        <v>5066506</v>
      </c>
      <c r="L15" s="396">
        <f>SUM('Pt 1 Summary of Data'!O$5:O$7)-L$10</f>
        <v>0</v>
      </c>
      <c r="M15" s="402">
        <v>98258022</v>
      </c>
      <c r="N15" s="403">
        <v>88780426</v>
      </c>
      <c r="O15" s="395">
        <f>SUM('Pt 1 Summary of Data'!Q$5:Q$7)+SUM('Pt 1 Summary of Data'!S$5:S$7)-SUM('Pt 1 Summary of Data'!T$5:T$7)+N$56</f>
        <v>83752779</v>
      </c>
      <c r="P15" s="395">
        <f>SUM(M15:O15)</f>
        <v>270791227</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-116601</v>
      </c>
      <c r="D16" s="398">
        <v>-147904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-231169</v>
      </c>
      <c r="F16" s="400">
        <f>SUM(C16:E16)</f>
        <v>-495674</v>
      </c>
      <c r="G16" s="401">
        <f>SUM('Pt 1 Summary of Data'!I$25:I$28,'Pt 1 Summary of Data'!I$30,'Pt 1 Summary of Data'!I$34:I$35)+IF('Company Information'!$C$15="No",IF(MAX('Pt 1 Summary of Data'!I$31:I$32)=0,MIN('Pt 1 Summary of Data'!I$31:I$32),MAX('Pt 1 Summary of Data'!I$31:I$32)),SUM('Pt 1 Summary of Data'!I$31:I$32))</f>
        <v>0</v>
      </c>
      <c r="H16" s="397">
        <v>162604</v>
      </c>
      <c r="I16" s="398">
        <v>191233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-55939</v>
      </c>
      <c r="K16" s="400">
        <f>SUM(H16:J16)</f>
        <v>297898</v>
      </c>
      <c r="L16" s="401">
        <f>SUM('Pt 1 Summary of Data'!O$25:O$28,'Pt 1 Summary of Data'!O$30,'Pt 1 Summary of Data'!O$34:O$35)+IF('Company Information'!$C$15="No",IF(MAX('Pt 1 Summary of Data'!O$31:O$32)=0,MIN('Pt 1 Summary of Data'!O$31:O$32),MAX('Pt 1 Summary of Data'!O$31:O$32)),SUM('Pt 1 Summary of Data'!O$31:O$32))</f>
        <v>0</v>
      </c>
      <c r="M16" s="397">
        <v>2794765</v>
      </c>
      <c r="N16" s="398">
        <v>5775569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4097125</v>
      </c>
      <c r="P16" s="400">
        <f>SUM(M16:O16)</f>
        <v>12667459</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249085</v>
      </c>
      <c r="D17" s="400">
        <f ca="1">D$15-D$16+IF(AND(OR('Company Information'!$C$12="District of Columbia",'Company Information'!$C$12="Massachusetts",'Company Information'!$C$12="Vermont"),SUM($C$6:$F$11,$C$15:$F$16,$C$38:$D$38)&lt;&gt;0),I$15-I$16,0)</f>
        <v>258783</v>
      </c>
      <c r="E17" s="400">
        <f ca="1">E$15-E$16+IF(AND(OR('Company Information'!$C$12="District of Columbia",'Company Information'!$C$12="Massachusetts",'Company Information'!$C$12="Vermont"),SUM($C$6:$F$11,$C$15:$F$16,$C$38:$D$38)&lt;&gt;0),J$15-J$16,0)</f>
        <v>337071</v>
      </c>
      <c r="F17" s="400">
        <f ca="1">F$15-F$16+IF(AND(OR('Company Information'!$C$12="District of Columbia",'Company Information'!$C$12="Massachusetts",'Company Information'!$C$12="Vermont"),SUM($C$6:$F$11,$C$15:$F$16,$C$38:$D$38)&lt;&gt;0),K$15-K$16,0)</f>
        <v>844939</v>
      </c>
      <c r="G17" s="450"/>
      <c r="H17" s="399">
        <f ca="1">H$15-H$16+IF(AND(OR('Company Information'!$C$12="District of Columbia",'Company Information'!$C$12="Massachusetts",'Company Information'!$C$12="Vermont"),SUM($H$6:$K$11,$H$15:$K$16,$H$38:$I$38)&lt;&gt;0),C$15-C$16,0)</f>
        <v>2304420</v>
      </c>
      <c r="I17" s="400">
        <f ca="1">I$15-I$16+IF(AND(OR('Company Information'!$C$12="District of Columbia",'Company Information'!$C$12="Massachusetts",'Company Information'!$C$12="Vermont"),SUM($H$6:$K$11,$H$15:$K$16,$H$38:$I$38)&lt;&gt;0),D$15-D$16,0)</f>
        <v>1412544</v>
      </c>
      <c r="J17" s="400">
        <f ca="1">J$15-J$16+IF(AND(OR('Company Information'!$C$12="District of Columbia",'Company Information'!$C$12="Massachusetts",'Company Information'!$C$12="Vermont"),SUM($H$6:$K$11,$H$15:$K$16,$H$38:$I$38)&lt;&gt;0),E$15-E$16,0)</f>
        <v>1051644</v>
      </c>
      <c r="K17" s="400">
        <f ca="1">K$15-K$16+IF(AND(OR('Company Information'!$C$12="District of Columbia",'Company Information'!$C$12="Massachusetts",'Company Information'!$C$12="Vermont"),SUM($H$6:$K$11,$H$15:$K$16,$H$38:$I$38)&lt;&gt;0),F$15-F$16,0)</f>
        <v>4768608</v>
      </c>
      <c r="L17" s="450"/>
      <c r="M17" s="399">
        <f>M$15-M$16</f>
        <v>95463257</v>
      </c>
      <c r="N17" s="400">
        <f>N$15-N$16</f>
        <v>83004857</v>
      </c>
      <c r="O17" s="400">
        <f>O$15-O$16</f>
        <v>79655654</v>
      </c>
      <c r="P17" s="400">
        <f>P$15-P$16</f>
        <v>258123768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24</v>
      </c>
      <c r="D4" s="104">
        <f>'Pt 1 Summary of Data'!$K$56+'Pt 1 Summary of Data'!$M$56-'Pt 1 Summary of Data'!$N$56</f>
        <v>90</v>
      </c>
      <c r="E4" s="104">
        <f>'Pt 1 Summary of Data'!$Q$56+'Pt 1 Summary of Data'!$S$56-'Pt 1 Summary of Data'!$T$56</f>
        <v>4999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2016-07-26T19:02:44Z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