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13" i="10"/>
  <c r="Y46" i="10"/>
  <c r="Y17" i="10"/>
  <c r="Y13" i="10"/>
  <c r="X41" i="10"/>
  <c r="W16" i="10"/>
  <c r="X16" i="10" s="1"/>
  <c r="T41" i="10"/>
  <c r="S16" i="10"/>
  <c r="T16" i="10" s="1"/>
  <c r="P41" i="10"/>
  <c r="O38" i="10"/>
  <c r="O16" i="10"/>
  <c r="P16" i="10" s="1"/>
  <c r="O6" i="10"/>
  <c r="N17" i="10"/>
  <c r="N45" i="10" s="1"/>
  <c r="N12" i="10"/>
  <c r="M45" i="10"/>
  <c r="M17" i="10"/>
  <c r="M12" i="10"/>
  <c r="L60" i="10"/>
  <c r="L59" i="10"/>
  <c r="L36" i="10"/>
  <c r="L35" i="10"/>
  <c r="L16" i="10"/>
  <c r="L10" i="10"/>
  <c r="L15" i="10" s="1"/>
  <c r="L6" i="10"/>
  <c r="K41" i="10"/>
  <c r="K16" i="10"/>
  <c r="K10" i="10"/>
  <c r="J16" i="10"/>
  <c r="J11" i="10"/>
  <c r="K11" i="10" s="1"/>
  <c r="J10" i="10"/>
  <c r="G60" i="10"/>
  <c r="G58" i="10" s="1"/>
  <c r="G59" i="10"/>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P55" i="18"/>
  <c r="P54" i="18"/>
  <c r="O55" i="18"/>
  <c r="O54" i="18"/>
  <c r="O12" i="4"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22" i="4"/>
  <c r="AT5" i="4"/>
  <c r="AS60" i="4"/>
  <c r="AS22" i="4"/>
  <c r="AS12" i="4"/>
  <c r="AS5" i="4"/>
  <c r="AC60" i="4"/>
  <c r="AC22" i="4"/>
  <c r="AC5" i="4"/>
  <c r="AB60" i="4"/>
  <c r="AB22" i="4"/>
  <c r="AB12" i="4"/>
  <c r="AA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5" i="4"/>
  <c r="L60" i="4"/>
  <c r="L22" i="4"/>
  <c r="L12" i="4"/>
  <c r="L5" i="4"/>
  <c r="K60" i="4"/>
  <c r="K5" i="4"/>
  <c r="J15" i="10" s="1"/>
  <c r="J60" i="4"/>
  <c r="J22" i="4"/>
  <c r="J12" i="4"/>
  <c r="J5" i="4"/>
  <c r="I60" i="4"/>
  <c r="I5" i="4"/>
  <c r="G15" i="10" s="1"/>
  <c r="H60" i="4"/>
  <c r="H22" i="4"/>
  <c r="H12" i="4"/>
  <c r="H5" i="4"/>
  <c r="G60" i="4"/>
  <c r="G5" i="4"/>
  <c r="F60" i="4"/>
  <c r="F22" i="4"/>
  <c r="F12" i="4"/>
  <c r="F5" i="4"/>
  <c r="E60" i="4"/>
  <c r="E5" i="4"/>
  <c r="E7" i="10" s="1"/>
  <c r="F7" i="10" s="1"/>
  <c r="D60" i="4"/>
  <c r="D22" i="4"/>
  <c r="D12" i="4"/>
  <c r="D5" i="4"/>
  <c r="K6" i="10" l="1"/>
  <c r="H17" i="10" s="1"/>
  <c r="H12" i="10"/>
  <c r="J12" i="10"/>
  <c r="L20" i="10"/>
  <c r="T6" i="10"/>
  <c r="F6" i="10"/>
  <c r="V17" i="10"/>
  <c r="V46" i="10" s="1"/>
  <c r="X6" i="10"/>
  <c r="U17" i="10" s="1"/>
  <c r="L58" i="10"/>
  <c r="O45" i="10"/>
  <c r="K15" i="10"/>
  <c r="G19" i="10"/>
  <c r="P6" i="10"/>
  <c r="L32" i="10"/>
  <c r="L24" i="10"/>
  <c r="L27" i="10"/>
  <c r="L23" i="10"/>
  <c r="G24" i="10"/>
  <c r="G27" i="10"/>
  <c r="AB6" i="10"/>
  <c r="AB13" i="10" s="1"/>
  <c r="AA13" i="10"/>
  <c r="G20" i="10"/>
  <c r="P15" i="10"/>
  <c r="P17" i="10" s="1"/>
  <c r="O17" i="10"/>
  <c r="X15" i="10"/>
  <c r="X17" i="10" s="1"/>
  <c r="W17" i="10"/>
  <c r="AB38" i="10"/>
  <c r="E15" i="10"/>
  <c r="J7" i="10"/>
  <c r="K7" i="10" s="1"/>
  <c r="L19" i="10"/>
  <c r="L22" i="10" s="1"/>
  <c r="O7" i="10"/>
  <c r="P7" i="10" s="1"/>
  <c r="S15" i="10"/>
  <c r="W7" i="10"/>
  <c r="X7" i="10" s="1"/>
  <c r="Z46" i="10"/>
  <c r="AA15" i="10"/>
  <c r="P38" i="10"/>
  <c r="G7" i="10"/>
  <c r="G23" i="10" s="1"/>
  <c r="X13" i="10" l="1"/>
  <c r="U46" i="10"/>
  <c r="L21" i="10"/>
  <c r="L26" i="10" s="1"/>
  <c r="L25" i="10" s="1"/>
  <c r="L28" i="10" s="1"/>
  <c r="L30" i="10"/>
  <c r="H45" i="10"/>
  <c r="S17" i="10"/>
  <c r="T15" i="10"/>
  <c r="T17" i="10" s="1"/>
  <c r="F15" i="10"/>
  <c r="F17" i="10" s="1"/>
  <c r="C17" i="10"/>
  <c r="S13" i="10"/>
  <c r="S38" i="10"/>
  <c r="AA17" i="10"/>
  <c r="AA46" i="10" s="1"/>
  <c r="AB15" i="10"/>
  <c r="AB17" i="10" s="1"/>
  <c r="AB46" i="10" s="1"/>
  <c r="AB42" i="10"/>
  <c r="AB39" i="10"/>
  <c r="AB52" i="10"/>
  <c r="G22" i="10"/>
  <c r="W13" i="10"/>
  <c r="Q17" i="10"/>
  <c r="R13" i="10"/>
  <c r="G32" i="10"/>
  <c r="J17" i="10"/>
  <c r="V13" i="10"/>
  <c r="W38" i="10"/>
  <c r="R17" i="10"/>
  <c r="R46" i="10" s="1"/>
  <c r="J38" i="10"/>
  <c r="I17" i="10"/>
  <c r="I45" i="10" s="1"/>
  <c r="P53" i="10"/>
  <c r="E11" i="16" s="1"/>
  <c r="P39" i="10"/>
  <c r="P52" i="10"/>
  <c r="P45" i="10"/>
  <c r="P42" i="10"/>
  <c r="D17" i="10"/>
  <c r="D45" i="10" s="1"/>
  <c r="O12" i="10"/>
  <c r="P12" i="10" s="1"/>
  <c r="K17" i="10"/>
  <c r="U13" i="10"/>
  <c r="Q13" i="10"/>
  <c r="L31" i="10"/>
  <c r="L29" i="10" s="1"/>
  <c r="L33" i="10" s="1"/>
  <c r="L34" i="10" s="1"/>
  <c r="I12" i="10"/>
  <c r="K12" i="10" s="1"/>
  <c r="AB48" i="10" l="1"/>
  <c r="AB51" i="10" s="1"/>
  <c r="AB47" i="10"/>
  <c r="K38" i="10"/>
  <c r="J45" i="10"/>
  <c r="T13" i="10"/>
  <c r="Q46" i="10"/>
  <c r="AB53" i="10"/>
  <c r="H11" i="16" s="1"/>
  <c r="C45" i="10"/>
  <c r="D12" i="10"/>
  <c r="G21" i="10"/>
  <c r="G26" i="10" s="1"/>
  <c r="G25" i="10" s="1"/>
  <c r="G28" i="10" s="1"/>
  <c r="G30" i="10"/>
  <c r="G31" i="10" s="1"/>
  <c r="G29" i="10" s="1"/>
  <c r="G33" i="10" s="1"/>
  <c r="G34" i="10" s="1"/>
  <c r="E12" i="10"/>
  <c r="C12" i="10"/>
  <c r="F12" i="10" s="1"/>
  <c r="E17" i="10"/>
  <c r="P47" i="10"/>
  <c r="P48" i="10"/>
  <c r="P51" i="10" s="1"/>
  <c r="W46" i="10"/>
  <c r="X38" i="10"/>
  <c r="S46" i="10"/>
  <c r="T38" i="10"/>
  <c r="E38" i="10"/>
  <c r="X53" i="10" l="1"/>
  <c r="G11" i="16" s="1"/>
  <c r="X39" i="10"/>
  <c r="X52" i="10"/>
  <c r="X46" i="10"/>
  <c r="X42" i="10"/>
  <c r="K53" i="10"/>
  <c r="D11" i="16" s="1"/>
  <c r="K39" i="10"/>
  <c r="K52" i="10"/>
  <c r="K45" i="10"/>
  <c r="K42" i="10"/>
  <c r="E45" i="10"/>
  <c r="F38" i="10"/>
  <c r="T42" i="10"/>
  <c r="T46" i="10"/>
  <c r="T53" i="10"/>
  <c r="F11" i="16" s="1"/>
  <c r="T39" i="10"/>
  <c r="T52" i="10"/>
  <c r="F42" i="10" l="1"/>
  <c r="F53" i="10"/>
  <c r="C11" i="16" s="1"/>
  <c r="F39" i="10"/>
  <c r="F45" i="10"/>
  <c r="F52" i="10"/>
  <c r="X47" i="10"/>
  <c r="X48" i="10"/>
  <c r="X51" i="10" s="1"/>
  <c r="T48" i="10"/>
  <c r="T51" i="10" s="1"/>
  <c r="T47" i="10"/>
  <c r="K47" i="10"/>
  <c r="K48" i="10"/>
  <c r="K51" i="10" s="1"/>
  <c r="F48" i="10" l="1"/>
  <c r="F51" i="10" s="1"/>
  <c r="F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<sst xmlns="http://schemas.openxmlformats.org/spreadsheetml/2006/main" count="570" uniqueCount="508">
  <si>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</si>
  <si>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</si>
  <si>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</si>
  <si>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</si>
  <si>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</si>
  <si>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</si>
  <si>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</si>
  <si>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</si>
  <si>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</si>
  <si>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</si>
  <si>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</si>
  <si>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</si>
  <si>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</si>
  <si>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</si>
  <si>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</si>
  <si>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</si>
  <si>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</si>
  <si>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</si>
  <si>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</si>
  <si>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</si>
  <si>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</si>
  <si>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</si>
  <si>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</si>
  <si>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</si>
  <si>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</si>
  <si>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</si>
  <si>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</si>
  <si>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</si>
  <si>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</si>
  <si>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</si>
  <si>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</si>
  <si>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</si>
  <si>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</si>
  <si>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</si>
  <si>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</si>
  <si>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</si>
  <si>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</si>
  <si>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</si>
  <si>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</si>
  <si>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</si>
  <si>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</si>
  <si>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</si>
  <si>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</si>
  <si>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</si>
  <si>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</si>
  <si>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</si>
  <si>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</si>
  <si>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</si>
  <si>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</si>
  <si>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</si>
  <si>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</si>
  <si>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</si>
  <si>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</si>
  <si>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</si>
  <si>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</si>
  <si>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</si>
  <si>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</si>
  <si>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</si>
  <si>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</si>
  <si>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</si>
  <si>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</si>
  <si>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</si>
  <si>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</si>
  <si>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</si>
  <si>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</si>
  <si>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</si>
  <si>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</si>
  <si>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</si>
  <si>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</si>
  <si>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</si>
  <si>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</si>
  <si>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</si>
  <si>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</si>
  <si>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</si>
  <si>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</si>
  <si>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</si>
  <si>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</si>
  <si>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</si>
  <si>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</si>
  <si>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</si>
  <si>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</si>
  <si>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</si>
  <si>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</si>
  <si>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</si>
  <si>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</si>
  <si>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</si>
  <si>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</si>
  <si>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</si>
  <si>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</si>
  <si>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</si>
  <si>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</si>
  <si>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</si>
  <si>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</si>
  <si>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</si>
  <si>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</si>
  <si>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</si>
  <si>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</si>
  <si>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</si>
  <si>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</si>
  <si>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</si>
  <si>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</si>
  <si>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</si>
  <si>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</si>
  <si>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</si>
  <si>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</si>
  <si>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</si>
  <si>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</si>
  <si>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</si>
  <si>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</si>
  <si>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</si>
  <si>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</si>
  <si>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</si>
  <si>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</si>
  <si>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</si>
  <si>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</si>
  <si>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</si>
  <si>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</si>
  <si>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</si>
  <si>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</si>
  <si>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</si>
  <si>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</si>
  <si>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</si>
  <si>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</si>
  <si>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</si>
  <si>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</si>
  <si>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</si>
  <si>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</si>
  <si>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</si>
  <si>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</si>
  <si>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</si>
  <si>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</si>
  <si>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</si>
  <si>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</si>
  <si>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</si>
  <si>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</si>
  <si>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</si>
  <si>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</si>
  <si>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</si>
  <si>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</si>
  <si>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</si>
  <si>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</si>
  <si>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</si>
  <si>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</si>
  <si>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</si>
  <si>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</si>
  <si>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</si>
  <si>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</si>
  <si>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</si>
  <si>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</si>
  <si>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</si>
  <si>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</si>
  <si>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</si>
  <si>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</si>
  <si>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</si>
  <si>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</si>
  <si>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</si>
  <si>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</si>
  <si>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</si>
  <si>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</si>
  <si>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</si>
  <si>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</si>
  <si>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</si>
  <si>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</si>
  <si>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</si>
  <si>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</si>
  <si>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</si>
  <si>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</si>
  <si>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</si>
  <si>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</si>
  <si>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</si>
  <si>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</si>
  <si>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</si>
  <si>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</si>
  <si>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</si>
  <si>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</si>
  <si>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</si>
  <si>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</si>
  <si>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</si>
  <si>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</si>
  <si>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</si>
  <si>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</si>
  <si>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</si>
  <si>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</si>
  <si>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</si>
  <si>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</si>
  <si>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</si>
  <si>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</si>
  <si>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</si>
  <si>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</si>
  <si>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</si>
  <si>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</si>
  <si>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</si>
  <si>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</si>
  <si>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</si>
  <si>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</si>
  <si>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</si>
  <si>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</si>
  <si>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</si>
  <si>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</si>
  <si>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</si>
  <si>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</si>
  <si>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</si>
  <si>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</si>
  <si>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</si>
  <si>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</si>
  <si>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</si>
  <si>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</si>
  <si>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</si>
  <si>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</si>
  <si>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</si>
  <si>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</si>
  <si>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</si>
  <si>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</si>
  <si>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</si>
  <si>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</si>
  <si>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</si>
  <si>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</si>
  <si>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</si>
  <si>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</si>
  <si>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</si>
  <si>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</si>
  <si>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</si>
  <si>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</si>
  <si>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</si>
  <si>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</si>
  <si>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</si>
  <si>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</si>
  <si>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</si>
  <si>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</si>
  <si>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</si>
  <si>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</si>
  <si>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</si>
  <si>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</si>
  <si>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</si>
  <si>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</si>
  <si>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</si>
  <si>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</si>
  <si>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</si>
  <si>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</si>
  <si>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</si>
  <si>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</si>
  <si>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</si>
  <si>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</si>
  <si>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</si>
  <si>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</si>
  <si>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</si>
  <si>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</si>
  <si>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</si>
  <si>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</si>
  <si>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</si>
  <si>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</si>
  <si>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</si>
  <si>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</si>
  <si>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</si>
  <si>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</si>
  <si>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</si>
  <si>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</si>
  <si>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</si>
  <si>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</si>
  <si>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</si>
  <si>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</si>
  <si>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</si>
  <si>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</si>
  <si>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</si>
  <si>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</si>
  <si>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</si>
  <si>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</si>
  <si>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</si>
  <si>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</si>
  <si>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</si>
  <si>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</si>
  <si>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</si>
  <si>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</si>
  <si>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</si>
  <si>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</si>
  <si>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</si>
  <si>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</si>
  <si>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</si>
  <si>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</si>
  <si>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</si>
  <si>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</si>
  <si>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</si>
  <si>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</si>
  <si>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</si>
  <si>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</si>
  <si>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</si>
  <si>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</si>
  <si>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</si>
  <si>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</si>
  <si>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</si>
  <si>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</si>
  <si>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</si>
  <si>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</si>
  <si>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</si>
  <si>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</si>
  <si>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</si>
  <si>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</si>
  <si>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</si>
  <si>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</si>
  <si>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</si>
  <si>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</si>
  <si>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</si>
  <si>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</si>
  <si>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</si>
  <si>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</si>
  <si>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</si>
  <si>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</si>
  <si>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</si>
  <si>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</si>
  <si>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</si>
  <si>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</si>
  <si>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</si>
  <si>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</si>
  <si>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</si>
  <si>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</si>
  <si>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</si>
  <si>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</si>
  <si>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</si>
  <si>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</si>
  <si>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</si>
  <si>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</si>
  <si>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</si>
  <si>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</si>
  <si>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</si>
  <si>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</si>
  <si>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</si>
  <si>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</si>
  <si>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</si>
  <si>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</si>
  <si>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</si>
  <si>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</si>
  <si>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</si>
  <si>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</si>
  <si>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</si>
  <si>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</si>
  <si>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</si>
  <si>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</si>
  <si>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</si>
  <si>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</si>
  <si>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</si>
  <si>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</si>
  <si>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</si>
  <si>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</si>
  <si>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</si>
  <si>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</si>
  <si>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</si>
  <si>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</si>
  <si>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</si>
  <si>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</si>
  <si>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</si>
  <si>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</si>
  <si>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</si>
  <si>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</si>
  <si>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</si>
  <si>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</si>
  <si>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</si>
  <si>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</si>
  <si>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</si>
  <si>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</si>
  <si>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</si>
  <si>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</si>
  <si>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</si>
  <si>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</si>
  <si>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</si>
  <si>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</si>
  <si>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</si>
  <si>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</si>
  <si>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</si>
  <si>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</si>
  <si>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</si>
  <si>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</si>
  <si>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</si>
  <si>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</si>
  <si>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</si>
  <si>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</si>
  <si>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</si>
  <si>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</si>
  <si>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</si>
  <si>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</si>
  <si>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</si>
  <si>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</si>
  <si>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</si>
  <si>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</si>
  <si>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</si>
  <si>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</si>
  <si>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</si>
  <si>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</si>
  <si>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</si>
  <si>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</si>
  <si>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</si>
  <si>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</si>
  <si>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</si>
  <si>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</si>
  <si>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</si>
  <si>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</si>
  <si>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</si>
  <si>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</si>
  <si>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</si>
  <si>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</si>
  <si>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</si>
  <si>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</si>
  <si>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</si>
  <si>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</si>
  <si>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</si>
  <si>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</si>
  <si>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</si>
  <si>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</si>
  <si>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</si>
  <si>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</si>
  <si>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</si>
  <si>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</si>
  <si>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</si>
  <si>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</si>
  <si>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</si>
  <si>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</si>
  <si>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</si>
  <si>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</si>
  <si>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</si>
  <si>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</si>
  <si>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</si>
  <si>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</si>
  <si>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</si>
  <si>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</si>
  <si>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</si>
  <si>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</si>
  <si>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</si>
  <si>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</si>
  <si>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</si>
  <si>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</si>
  <si>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</si>
  <si>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</si>
  <si>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</si>
  <si>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</si>
  <si>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</si>
  <si>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</si>
  <si>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</si>
  <si>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</si>
  <si>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</si>
  <si>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</si>
  <si>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</si>
  <si>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</si>
  <si>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</si>
  <si>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</si>
  <si>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</si>
  <si>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</si>
  <si>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</si>
  <si>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</si>
  <si>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</si>
  <si>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</si>
  <si>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</si>
  <si>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</si>
  <si>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</si>
  <si>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</si>
  <si>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</si>
  <si>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</si>
  <si>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</si>
  <si>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</si>
  <si>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</si>
  <si>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</si>
  <si>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</si>
  <si>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</si>
  <si>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</si>
  <si>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</si>
  <si>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</si>
  <si>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</si>
  <si>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</si>
  <si>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</si>
  <si>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</si>
  <si>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</si>
  <si>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</si>
  <si>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</si>
  <si>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</si>
  <si>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</si>
  <si>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</si>
  <si>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</si>
  <si>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</si>
  <si>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</si>
  <si>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</si>
  <si>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</si>
  <si>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</si>
  <si>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</si>
  <si>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</si>
  <si>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</si>
  <si>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</si>
  <si>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</si>
  <si>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</si>
  <si>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</si>
  <si>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</si>
  <si>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</si>
  <si>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</si>
  <si>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</si>
  <si>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</si>
  <si>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</si>
  <si>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</si>
  <si>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</si>
  <si>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</si>
  <si>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</si>
  <si>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</si>
  <si>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</si>
  <si>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</si>
  <si>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</si>
  <si>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</si>
  <si>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</si>
  <si>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</si>
  <si>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</si>
  <si>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96791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</si>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</sst>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2390981</v>
      </c>
      <c r="Q5" s="219">
        <f>SUM('Pt 2 Premium and Claims'!Q$5,'Pt 2 Premium and Claims'!Q$6,-'Pt 2 Premium and Claims'!Q$7,-'Pt 2 Premium and Claims'!Q$13,'Pt 2 Premium and Claims'!Q$14)</f>
        <v>2391785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9173266</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68</v>
      </c>
      <c r="Q7" s="223">
        <v>68</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259</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21188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-11042</v>
      </c>
      <c r="E12" s="219">
        <f>'Pt 2 Premium and Claims'!E$54</f>
        <v>-1382</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1743832</v>
      </c>
      <c r="Q12" s="219">
        <f>'Pt 2 Premium and Claims'!Q$54</f>
        <v>1750803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5960195</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209673</v>
      </c>
      <c r="Q13" s="223">
        <v>216558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43</v>
      </c>
      <c r="AU13" s="226">
        <v>0</v>
      </c>
      <c r="AV13" s="296"/>
      <c r="AW13" s="303"/>
    </row>
    <row r="14" spans="1:49" ht="25.5" x14ac:dyDescent="0.2">
      <c r="B14" s="245" t="s">
        <v>231</v>
      </c>
      <c r="C14" s="209" t="s">
        <v>6</v>
      </c>
      <c r="D14" s="222">
        <v>0</v>
      </c>
      <c r="E14" s="223">
        <v>9</v>
      </c>
      <c r="F14" s="223"/>
      <c r="G14" s="273"/>
      <c r="H14" s="276"/>
      <c r="I14" s="222">
        <v>0</v>
      </c>
      <c r="J14" s="222">
        <v>0</v>
      </c>
      <c r="K14" s="223">
        <v>0</v>
      </c>
      <c r="L14" s="223"/>
      <c r="M14" s="273"/>
      <c r="N14" s="276"/>
      <c r="O14" s="222"/>
      <c r="P14" s="222">
        <v>45014</v>
      </c>
      <c r="Q14" s="223">
        <v>50447</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3595</v>
      </c>
      <c r="E25" s="223">
        <v>3595</v>
      </c>
      <c r="F25" s="223"/>
      <c r="G25" s="223"/>
      <c r="H25" s="223"/>
      <c r="I25" s="222">
        <v>0</v>
      </c>
      <c r="J25" s="222">
        <v>0</v>
      </c>
      <c r="K25" s="223">
        <v>0</v>
      </c>
      <c r="L25" s="223"/>
      <c r="M25" s="223"/>
      <c r="N25" s="223"/>
      <c r="O25" s="222"/>
      <c r="P25" s="222">
        <v>137636</v>
      </c>
      <c r="Q25" s="223">
        <v>137636</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705385</v>
      </c>
      <c r="AU25" s="226">
        <v>0</v>
      </c>
      <c r="AV25" s="226">
        <v>-821265</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1176</v>
      </c>
      <c r="Q26" s="223">
        <v>1176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57295</v>
      </c>
      <c r="Q27" s="223">
        <v>57295</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152975</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8006</v>
      </c>
      <c r="Q28" s="223">
        <v>8006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11652</v>
      </c>
      <c r="AU28" s="226">
        <v>0</v>
      </c>
      <c r="AV28" s="226">
        <v>95085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7483</v>
      </c>
      <c r="Q30" s="223">
        <v>7483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28220</v>
      </c>
      <c r="AU30" s="226">
        <v>0</v>
      </c>
      <c r="AV30" s="226">
        <v>2486</v>
      </c>
      <c r="AW30" s="303"/>
    </row>
    <row r="31" spans="1:49" x14ac:dyDescent="0.2">
      <c r="B31" s="248" t="s">
        <v>247</v>
      </c>
      <c r="C31" s="209"/>
      <c r="D31" s="222">
        <v>0</v>
      </c>
      <c r="E31" s="223">
        <v>0</v>
      </c>
      <c r="F31" s="223"/>
      <c r="G31" s="223"/>
      <c r="H31" s="223"/>
      <c r="I31" s="222">
        <v>0</v>
      </c>
      <c r="J31" s="222">
        <v>0</v>
      </c>
      <c r="K31" s="223">
        <v>0</v>
      </c>
      <c r="L31" s="223"/>
      <c r="M31" s="223"/>
      <c r="N31" s="223"/>
      <c r="O31" s="222"/>
      <c r="P31" s="222">
        <v>41110</v>
      </c>
      <c r="Q31" s="223">
        <v>41110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157724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21824</v>
      </c>
      <c r="Q34" s="223">
        <v>21824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307</v>
      </c>
      <c r="Q35" s="223">
        <v>307</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33</v>
      </c>
      <c r="AU35" s="226">
        <v>0</v>
      </c>
      <c r="AV35" s="226">
        <v>1468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2435</v>
      </c>
      <c r="Q37" s="231">
        <v>2438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10</v>
      </c>
      <c r="AU37" s="232">
        <v>0</v>
      </c>
      <c r="AV37" s="232">
        <v>99786</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637</v>
      </c>
      <c r="Q38" s="223">
        <v>638</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14271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1156</v>
      </c>
      <c r="Q39" s="223">
        <v>1167</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8</v>
      </c>
      <c r="AU39" s="226">
        <v>0</v>
      </c>
      <c r="AV39" s="226">
        <v>2427</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178</v>
      </c>
      <c r="Q40" s="223">
        <v>178</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28</v>
      </c>
      <c r="AU40" s="226">
        <v>0</v>
      </c>
      <c r="AV40" s="226">
        <v>15633</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1267</v>
      </c>
      <c r="Q41" s="223">
        <v>1267</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546</v>
      </c>
      <c r="AU41" s="226">
        <v>0</v>
      </c>
      <c r="AV41" s="226">
        <v>44327</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123</v>
      </c>
      <c r="Q42" s="223">
        <v>123</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1809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28155</v>
      </c>
      <c r="Q44" s="231">
        <v>28665</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1259</v>
      </c>
      <c r="AU44" s="232">
        <v>0</v>
      </c>
      <c r="AV44" s="232">
        <v>496161</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584</v>
      </c>
      <c r="Q45" s="223">
        <v>584</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359</v>
      </c>
      <c r="AU45" s="226">
        <v>0</v>
      </c>
      <c r="AV45" s="226">
        <v>-431</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16979</v>
      </c>
      <c r="Q46" s="223">
        <v>16979</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19712</v>
      </c>
      <c r="AU46" s="226">
        <v>0</v>
      </c>
      <c r="AV46" s="226">
        <v>158937</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53228</v>
      </c>
      <c r="Q47" s="223">
        <v>53228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300801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26</v>
      </c>
      <c r="Q49" s="223">
        <v>26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79</v>
      </c>
      <c r="Q50" s="223">
        <v>79</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83</v>
      </c>
      <c r="AW50" s="303"/>
    </row>
    <row r="51" spans="2:49" x14ac:dyDescent="0.2">
      <c r="B51" s="245" t="s">
        <v>266</v>
      </c>
      <c r="C51" s="209"/>
      <c r="D51" s="222">
        <v>0</v>
      </c>
      <c r="E51" s="223">
        <v>0</v>
      </c>
      <c r="F51" s="223"/>
      <c r="G51" s="223"/>
      <c r="H51" s="223"/>
      <c r="I51" s="222">
        <v>0</v>
      </c>
      <c r="J51" s="222">
        <v>0</v>
      </c>
      <c r="K51" s="223">
        <v>0</v>
      </c>
      <c r="L51" s="223"/>
      <c r="M51" s="223"/>
      <c r="N51" s="223"/>
      <c r="O51" s="222"/>
      <c r="P51" s="222">
        <v>39818</v>
      </c>
      <c r="Q51" s="223">
        <v>39818</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547567</v>
      </c>
      <c r="AU51" s="226">
        <v>0</v>
      </c>
      <c r="AV51" s="226">
        <v>2566926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193</v>
      </c>
      <c r="Q53" s="223">
        <v>193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3962</v>
      </c>
      <c r="AU53" s="226">
        <v>0</v>
      </c>
      <c r="AV53" s="226">
        <v>5329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976465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333</v>
      </c>
      <c r="Q56" s="235">
        <v>333</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18104</v>
      </c>
      <c r="AU56" s="236">
        <v>0</v>
      </c>
      <c r="AV56" s="236">
        <v>10963</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777</v>
      </c>
      <c r="Q57" s="238">
        <v>777</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33115</v>
      </c>
      <c r="AU57" s="239">
        <v>0</v>
      </c>
      <c r="AV57" s="239">
        <v>26057</v>
      </c>
      <c r="AW57" s="295"/>
    </row>
    <row r="58" spans="2:49" x14ac:dyDescent="0.2">
      <c r="B58" s="251" t="s">
        <v>273</v>
      </c>
      <c r="C58" s="209" t="s">
        <v>26</v>
      </c>
      <c r="D58" s="315"/>
      <c r="E58" s="316"/>
      <c r="F58" s="316"/>
      <c r="G58" s="316"/>
      <c r="H58" s="316"/>
      <c r="I58" s="315"/>
      <c r="J58" s="237">
        <v>0</v>
      </c>
      <c r="K58" s="238">
        <v>0</v>
      </c>
      <c r="L58" s="238"/>
      <c r="M58" s="238"/>
      <c r="N58" s="238"/>
      <c r="O58" s="237"/>
      <c r="P58" s="237">
        <v>5</v>
      </c>
      <c r="Q58" s="238">
        <v>5</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114</v>
      </c>
      <c r="AU58" s="239">
        <v>0</v>
      </c>
      <c r="AV58" s="239">
        <v>17</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6799</v>
      </c>
      <c r="Q59" s="238">
        <v>6799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384408</v>
      </c>
      <c r="AU59" s="239">
        <v>0</v>
      </c>
      <c r="AV59" s="239">
        <v>341514</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566.58333333333337</v>
      </c>
      <c r="Q60" s="241">
        <f>Q$59/12</f>
        <v>566.58333333333337</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32034</v>
      </c>
      <c r="AU60" s="242">
        <f>AU$59/12</f>
        <v>0</v>
      </c>
      <c r="AV60" s="242">
        <f>AV$59/12</f>
        <v>28459.5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126138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41567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-63584</v>
      </c>
      <c r="E5" s="332">
        <v>-63584</v>
      </c>
      <c r="F5" s="332"/>
      <c r="G5" s="334"/>
      <c r="H5" s="334"/>
      <c r="I5" s="331">
        <v>0</v>
      </c>
      <c r="J5" s="331">
        <v>0</v>
      </c>
      <c r="K5" s="332">
        <v>0</v>
      </c>
      <c r="L5" s="332"/>
      <c r="M5" s="332"/>
      <c r="N5" s="332"/>
      <c r="O5" s="331"/>
      <c r="P5" s="331">
        <v>2328272</v>
      </c>
      <c r="Q5" s="332">
        <v>2221482</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9203012</v>
      </c>
      <c r="AU5" s="333">
        <v>0</v>
      </c>
      <c r="AV5" s="375"/>
      <c r="AW5" s="379"/>
    </row>
    <row r="6" spans="2:49" x14ac:dyDescent="0.2">
      <c r="B6" s="349" t="s">
        <v>278</v>
      </c>
      <c r="C6" s="337" t="s">
        <v>8</v>
      </c>
      <c r="D6" s="324">
        <v>63584</v>
      </c>
      <c r="E6" s="325">
        <v>63584</v>
      </c>
      <c r="F6" s="325"/>
      <c r="G6" s="326"/>
      <c r="H6" s="326"/>
      <c r="I6" s="324">
        <v>0</v>
      </c>
      <c r="J6" s="324">
        <v>0</v>
      </c>
      <c r="K6" s="325">
        <v>0</v>
      </c>
      <c r="L6" s="325"/>
      <c r="M6" s="325"/>
      <c r="N6" s="325"/>
      <c r="O6" s="324"/>
      <c r="P6" s="324">
        <v>170303</v>
      </c>
      <c r="Q6" s="325">
        <v>170303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118127</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107594</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147530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78</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78</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7</v>
      </c>
      <c r="Q11" s="325">
        <v>-364</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391</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343</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539</v>
      </c>
      <c r="E23" s="368"/>
      <c r="F23" s="368"/>
      <c r="G23" s="368"/>
      <c r="H23" s="368"/>
      <c r="I23" s="370"/>
      <c r="J23" s="324">
        <v>0</v>
      </c>
      <c r="K23" s="368"/>
      <c r="L23" s="368"/>
      <c r="M23" s="368"/>
      <c r="N23" s="368"/>
      <c r="O23" s="370"/>
      <c r="P23" s="324">
        <v>1559657</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5761405</v>
      </c>
      <c r="AU23" s="327">
        <v>0</v>
      </c>
      <c r="AV23" s="374"/>
      <c r="AW23" s="380"/>
    </row>
    <row r="24" spans="2:49" ht="28.5" customHeight="1" x14ac:dyDescent="0.2">
      <c r="B24" s="351" t="s">
        <v>114</v>
      </c>
      <c r="C24" s="337"/>
      <c r="D24" s="371"/>
      <c r="E24" s="325">
        <v>539</v>
      </c>
      <c r="F24" s="325"/>
      <c r="G24" s="325"/>
      <c r="H24" s="325"/>
      <c r="I24" s="324">
        <v>0</v>
      </c>
      <c r="J24" s="371"/>
      <c r="K24" s="325">
        <v>0</v>
      </c>
      <c r="L24" s="325"/>
      <c r="M24" s="325"/>
      <c r="N24" s="325"/>
      <c r="O24" s="324"/>
      <c r="P24" s="371"/>
      <c r="Q24" s="325">
        <v>1709706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202224</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611593</v>
      </c>
      <c r="AU26" s="327">
        <v>0</v>
      </c>
      <c r="AV26" s="374"/>
      <c r="AW26" s="380"/>
    </row>
    <row r="27" spans="2:49" s="11" customFormat="1" ht="25.5" x14ac:dyDescent="0.2">
      <c r="B27" s="351" t="s">
        <v>85</v>
      </c>
      <c r="C27" s="337"/>
      <c r="D27" s="371"/>
      <c r="E27" s="325">
        <v>-1837</v>
      </c>
      <c r="F27" s="325"/>
      <c r="G27" s="325"/>
      <c r="H27" s="325"/>
      <c r="I27" s="324">
        <v>0</v>
      </c>
      <c r="J27" s="371"/>
      <c r="K27" s="325">
        <v>0</v>
      </c>
      <c r="L27" s="325"/>
      <c r="M27" s="325"/>
      <c r="N27" s="325"/>
      <c r="O27" s="324"/>
      <c r="P27" s="371"/>
      <c r="Q27" s="325">
        <v>39933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11462</v>
      </c>
      <c r="E28" s="369"/>
      <c r="F28" s="369"/>
      <c r="G28" s="369"/>
      <c r="H28" s="369"/>
      <c r="I28" s="371"/>
      <c r="J28" s="324">
        <v>0</v>
      </c>
      <c r="K28" s="369"/>
      <c r="L28" s="369"/>
      <c r="M28" s="369"/>
      <c r="N28" s="369"/>
      <c r="O28" s="371"/>
      <c r="P28" s="324">
        <v>818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393278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26849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44</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46374</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1723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1723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84</v>
      </c>
      <c r="E36" s="325">
        <v>84</v>
      </c>
      <c r="F36" s="325"/>
      <c r="G36" s="325"/>
      <c r="H36" s="325"/>
      <c r="I36" s="324">
        <v>0</v>
      </c>
      <c r="J36" s="324">
        <v>0</v>
      </c>
      <c r="K36" s="325">
        <v>0</v>
      </c>
      <c r="L36" s="325"/>
      <c r="M36" s="325"/>
      <c r="N36" s="325"/>
      <c r="O36" s="324"/>
      <c r="P36" s="324">
        <v>407</v>
      </c>
      <c r="Q36" s="325">
        <v>407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78</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78</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7</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-364</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391</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134</v>
      </c>
      <c r="Q45" s="325">
        <v>134</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18317</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9</v>
      </c>
      <c r="E50" s="369"/>
      <c r="F50" s="369"/>
      <c r="G50" s="369"/>
      <c r="H50" s="369"/>
      <c r="I50" s="371"/>
      <c r="J50" s="324">
        <v>0</v>
      </c>
      <c r="K50" s="369"/>
      <c r="L50" s="369"/>
      <c r="M50" s="369"/>
      <c r="N50" s="369"/>
      <c r="O50" s="371"/>
      <c r="P50" s="324">
        <v>-58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-11042</v>
      </c>
      <c r="E54" s="329">
        <f>E24+E27+E31+E35-E36+E39+E42+E45+E46-E49+E51+E52+E53</f>
        <v>-1382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1743832</v>
      </c>
      <c r="Q54" s="329">
        <f>Q24+Q27+Q31+Q35-Q36+Q39+Q42+Q45+Q46-Q49+Q51+Q52+Q53</f>
        <v>1750803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5960195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8203470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38622</v>
      </c>
      <c r="D6" s="404">
        <v>-23074</v>
      </c>
      <c r="E6" s="406">
        <f>SUM('Pt 1 Summary of Data'!E$12,'Pt 1 Summary of Data'!E$22)+SUM('Pt 1 Summary of Data'!G$12,'Pt 1 Summary of Data'!G$22)-SUM('Pt 1 Summary of Data'!H$12,'Pt 1 Summary of Data'!H$22)</f>
        <v>-1382</v>
      </c>
      <c r="F6" s="406">
        <f>SUM(C6:E6)</f>
        <v>14166</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125909</v>
      </c>
      <c r="N6" s="404">
        <v>18355</v>
      </c>
      <c r="O6" s="406">
        <f>SUM('Pt 1 Summary of Data'!Q$12,'Pt 1 Summary of Data'!Q$22)+SUM('Pt 1 Summary of Data'!S$12,'Pt 1 Summary of Data'!S$22)-SUM('Pt 1 Summary of Data'!T$12,'Pt 1 Summary of Data'!T$22)</f>
        <v>1750803</v>
      </c>
      <c r="P6" s="406">
        <f>SUM(M6:O6)</f>
        <v>1895067</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382</v>
      </c>
      <c r="D7" s="404">
        <v>289</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671</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653</v>
      </c>
      <c r="N7" s="404">
        <v>100</v>
      </c>
      <c r="O7" s="406">
        <f>SUM('Pt 1 Summary of Data'!Q$37:Q$41)+SUM('Pt 1 Summary of Data'!S$37:S$41)-SUM('Pt 1 Summary of Data'!T$37:T$41)+MAX(0,MIN('Pt 1 Summary of Data'!Q$42+'Pt 1 Summary of Data'!S$42-'Pt 1 Summary of Data'!T$42,0.3%*('Pt 1 Summary of Data'!Q$5+'Pt 1 Summary of Data'!S$5-'Pt 1 Summary of Data'!T$5)))</f>
        <v>5811</v>
      </c>
      <c r="P7" s="406">
        <f>SUM(M7:O7)</f>
        <v>6564</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39004</v>
      </c>
      <c r="D12" s="406">
        <f>SUM(D$6:D$7) - SUM(D$8:D$11)+IF(AND(OR('Company Information'!$C$12="District of Columbia",'Company Information'!$C$12="Massachusetts",'Company Information'!$C$12="Vermont"),SUM($C$6:$F$11,$C$15:$F$16,$C$38:$D$38)&lt;&gt;0),SUM(I$6:I$7) - SUM(I$10:I$11),0)</f>
        <v>-22785</v>
      </c>
      <c r="E12" s="406">
        <f>SUM(E$6:E$7)-SUM(E$8:E$11)+IF(AND(OR('Company Information'!$C$12="District of Columbia",'Company Information'!$C$12="Massachusetts",'Company Information'!$C$12="Vermont"),SUM($C$6:$F$11,$C$15:$F$16,$C$38:$D$38)&lt;&gt;0),SUM(J$6:J$7)-SUM(J$10:J$11),0)</f>
        <v>-1382</v>
      </c>
      <c r="F12" s="406">
        <f>IFERROR(SUM(C$12:E$12)+C$17*MAX(0,E$50-C$50)+D$17*MAX(0,E$50-D$50),0)</f>
        <v>14837</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126562</v>
      </c>
      <c r="N12" s="406">
        <f>SUM(N$6:N$7)</f>
        <v>18455</v>
      </c>
      <c r="O12" s="406">
        <f>SUM(O$6:O$7)</f>
        <v>1756614</v>
      </c>
      <c r="P12" s="406">
        <f>SUM(M$12:O$12)+M$17*MAX(0,O$50-M$50)+N$17*MAX(0,O$50-N$50)</f>
        <v>1901631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52154</v>
      </c>
      <c r="D15" s="409">
        <v>25594</v>
      </c>
      <c r="E15" s="401">
        <f>SUM('Pt 1 Summary of Data'!E$5:E$7)+SUM('Pt 1 Summary of Data'!G$5:G$7)-SUM('Pt 1 Summary of Data'!H$5:H$7)-SUM(E$9:E$11)</f>
        <v>0</v>
      </c>
      <c r="F15" s="401">
        <f>SUM(C15:E15)</f>
        <v>77748</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71598</v>
      </c>
      <c r="N15" s="409">
        <v>57686</v>
      </c>
      <c r="O15" s="401">
        <f>SUM('Pt 1 Summary of Data'!Q$5:Q$7)+SUM('Pt 1 Summary of Data'!S$5:S$7)-SUM('Pt 1 Summary of Data'!T$5:T$7)+N$56</f>
        <v>2391853</v>
      </c>
      <c r="P15" s="401">
        <f>SUM(M15:O15)</f>
        <v>2521137</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2867</v>
      </c>
      <c r="D16" s="404">
        <v>23171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3595</v>
      </c>
      <c r="F16" s="406">
        <f>SUM(C16:E16)</f>
        <v>29633</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-18795</v>
      </c>
      <c r="N16" s="404">
        <v>15790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274837</v>
      </c>
      <c r="P16" s="406">
        <f>SUM(M16:O16)</f>
        <v>271832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49287</v>
      </c>
      <c r="D17" s="406">
        <f>D$15-D$16+IF(AND(OR('Company Information'!$C$12="District of Columbia",'Company Information'!$C$12="Massachusetts",'Company Information'!$C$12="Vermont"),SUM($C$6:$F$11,$C$15:$F$16,$C$38:$D$38)&lt;&gt;0),I$15-I$16,0)</f>
        <v>2423</v>
      </c>
      <c r="E17" s="406">
        <f>E$15-E$16+IF(AND(OR('Company Information'!$C$12="District of Columbia",'Company Information'!$C$12="Massachusetts",'Company Information'!$C$12="Vermont"),SUM($C$6:$F$11,$C$15:$F$16,$C$38:$D$38)&lt;&gt;0),J$15-J$16,0)</f>
        <v>-3595</v>
      </c>
      <c r="F17" s="406">
        <f>F$15-F$16+IF(AND(OR('Company Information'!$C$12="District of Columbia",'Company Information'!$C$12="Massachusetts",'Company Information'!$C$12="Vermont"),SUM($C$6:$F$11,$C$15:$F$16,$C$38:$D$38)&lt;&gt;0),K$15-K$16,0)</f>
        <v>48115</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90393</v>
      </c>
      <c r="N17" s="406">
        <f>N$15-N$16</f>
        <v>41896</v>
      </c>
      <c r="O17" s="406">
        <f>O$15-O$16</f>
        <v>2117016</v>
      </c>
      <c r="P17" s="406">
        <f>P$15-P$16</f>
        <v>2249305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18.9358</v>
      </c>
      <c r="D38" s="411">
        <v>9.7624999999999993</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28.6983</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31.216699999999999</v>
      </c>
      <c r="N38" s="411">
        <v>2.25</v>
      </c>
      <c r="O38" s="438">
        <f>('Pt 1 Summary of Data'!Q$59+'Pt 1 Summary of Data'!S$59-'Pt 1 Summary of Data'!T$59)/12</f>
        <v>566.58333333333337</v>
      </c>
      <c r="P38" s="438">
        <f>SUM(M$38:O$38)</f>
        <v>600.05003333333343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282</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103</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333</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2016-07-29T13:56:29Z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