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L20"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X37" i="10" l="1"/>
  <c r="X6" i="10"/>
  <c r="F37" i="10"/>
  <c r="G29" i="10"/>
  <c r="K15" i="10"/>
  <c r="K37" i="10"/>
  <c r="S6" i="10"/>
  <c r="AA6" i="10"/>
  <c r="G19" i="10"/>
  <c r="P15" i="10"/>
  <c r="P17" i="10" s="1"/>
  <c r="O17" i="10"/>
  <c r="O44" i="10"/>
  <c r="P37" i="10"/>
  <c r="T37" i="10"/>
  <c r="F6" i="10"/>
  <c r="D17" i="10" s="1"/>
  <c r="D44" i="10" s="1"/>
  <c r="T15" i="10"/>
  <c r="P6" i="10"/>
  <c r="F15" i="10"/>
  <c r="F17" i="10" s="1"/>
  <c r="AB37" i="10"/>
  <c r="J12" i="10"/>
  <c r="K6" i="10"/>
  <c r="H17" i="10" s="1"/>
  <c r="I17" i="10"/>
  <c r="I44" i="10" s="1"/>
  <c r="H12" i="10"/>
  <c r="L29" i="10"/>
  <c r="L25" i="10"/>
  <c r="L21" i="10"/>
  <c r="L28" i="10"/>
  <c r="J7" i="10"/>
  <c r="K7" i="10" s="1"/>
  <c r="M44" i="10"/>
  <c r="S7" i="10"/>
  <c r="T7" i="10" s="1"/>
  <c r="Z45" i="10"/>
  <c r="AA15" i="10"/>
  <c r="E7" i="10"/>
  <c r="F7" i="10" s="1"/>
  <c r="L19" i="10"/>
  <c r="L24" i="10" s="1"/>
  <c r="L23" i="10" s="1"/>
  <c r="L27" i="10" s="1"/>
  <c r="O7" i="10"/>
  <c r="P7" i="10" s="1"/>
  <c r="W15" i="10"/>
  <c r="G7" i="10"/>
  <c r="G25" i="10" s="1"/>
  <c r="L31" i="10" l="1"/>
  <c r="L32" i="10" s="1"/>
  <c r="L33" i="10" s="1"/>
  <c r="L26" i="10"/>
  <c r="L30" i="10" s="1"/>
  <c r="U17" i="10"/>
  <c r="H44" i="10"/>
  <c r="T17" i="10"/>
  <c r="P51" i="10"/>
  <c r="P52" i="10" s="1"/>
  <c r="E11" i="16" s="1"/>
  <c r="P46" i="10"/>
  <c r="P38" i="10"/>
  <c r="P44" i="10"/>
  <c r="P47" i="10" s="1"/>
  <c r="P50" i="10" s="1"/>
  <c r="P41" i="10"/>
  <c r="D12" i="10"/>
  <c r="K51" i="10"/>
  <c r="K52" i="10" s="1"/>
  <c r="D11" i="16" s="1"/>
  <c r="K46" i="10"/>
  <c r="K41" i="10"/>
  <c r="V17" i="10"/>
  <c r="V45" i="10" s="1"/>
  <c r="V13" i="10"/>
  <c r="W17" i="10"/>
  <c r="W45" i="10" s="1"/>
  <c r="X15" i="10"/>
  <c r="AA17" i="10"/>
  <c r="AA45" i="10" s="1"/>
  <c r="AB15" i="10"/>
  <c r="AB17" i="10" s="1"/>
  <c r="AB45" i="10" s="1"/>
  <c r="AB47" i="10" s="1"/>
  <c r="AB50" i="10" s="1"/>
  <c r="G28" i="10"/>
  <c r="AB41" i="10"/>
  <c r="AB51" i="10"/>
  <c r="AB52" i="10" s="1"/>
  <c r="H11" i="16" s="1"/>
  <c r="AB46" i="10"/>
  <c r="AB38" i="10"/>
  <c r="O12" i="10"/>
  <c r="P12" i="10" s="1"/>
  <c r="C12" i="10"/>
  <c r="T51" i="10"/>
  <c r="T52" i="10" s="1"/>
  <c r="F11" i="16" s="1"/>
  <c r="T46" i="10"/>
  <c r="T38" i="10"/>
  <c r="T45" i="10"/>
  <c r="T47" i="10" s="1"/>
  <c r="T50" i="10" s="1"/>
  <c r="T41" i="10"/>
  <c r="AA13" i="10"/>
  <c r="AB6" i="10"/>
  <c r="AB13" i="10" s="1"/>
  <c r="J17" i="10"/>
  <c r="J44" i="10" s="1"/>
  <c r="K38" i="10" s="1"/>
  <c r="G21" i="10"/>
  <c r="F51" i="10"/>
  <c r="F52" i="10" s="1"/>
  <c r="C11" i="16" s="1"/>
  <c r="F46" i="10"/>
  <c r="F44" i="10"/>
  <c r="F47" i="10" s="1"/>
  <c r="F50" i="10" s="1"/>
  <c r="F41" i="10"/>
  <c r="W13" i="10"/>
  <c r="X41" i="10"/>
  <c r="X51" i="10"/>
  <c r="X52" i="10" s="1"/>
  <c r="G11" i="16" s="1"/>
  <c r="X46" i="10"/>
  <c r="X38" i="10"/>
  <c r="E12" i="10"/>
  <c r="C17" i="10"/>
  <c r="G20" i="10"/>
  <c r="I12" i="10"/>
  <c r="K12" i="10" s="1"/>
  <c r="E17" i="10"/>
  <c r="E44" i="10" s="1"/>
  <c r="T6" i="10"/>
  <c r="S17" i="10" s="1"/>
  <c r="S45" i="10" s="1"/>
  <c r="Q17" i="10"/>
  <c r="S13" i="10"/>
  <c r="R17" i="10"/>
  <c r="R45" i="10" s="1"/>
  <c r="Q13" i="10"/>
  <c r="R13" i="10"/>
  <c r="K17" i="10"/>
  <c r="K44" i="10" s="1"/>
  <c r="K47" i="10" s="1"/>
  <c r="K50" i="10" s="1"/>
  <c r="Q45" i="10" l="1"/>
  <c r="T13" i="10"/>
  <c r="G27" i="10"/>
  <c r="U45" i="10"/>
  <c r="X13" i="10"/>
  <c r="F12" i="10"/>
  <c r="C44" i="10"/>
  <c r="F38" i="10" s="1"/>
  <c r="X17" i="10"/>
  <c r="X45" i="10" s="1"/>
  <c r="X47" i="10" s="1"/>
  <c r="X50" i="10" s="1"/>
  <c r="U13" i="10"/>
  <c r="G24" i="10"/>
  <c r="G23" i="10" s="1"/>
  <c r="G26" i="10" l="1"/>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<sst xmlns="http://schemas.openxmlformats.org/spreadsheetml/2006/main" count="568" uniqueCount="506">
  <si>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</si>
  <si>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</si>
  <si>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</si>
  <si>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</si>
  <si>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</si>
  <si>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</si>
  <si>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</si>
  <si>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</si>
  <si>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</si>
  <si>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</si>
  <si>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</si>
  <si>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</si>
  <si>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</si>
  <si>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</si>
  <si>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</si>
  <si>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</si>
  <si>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</si>
  <si>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</si>
  <si>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</si>
  <si>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</si>
  <si>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</si>
  <si>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</si>
  <si>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</si>
  <si>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</si>
  <si>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</si>
  <si>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</si>
  <si>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</si>
  <si>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</si>
  <si>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</si>
  <si>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</si>
  <si>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</si>
  <si>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</si>
  <si>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</si>
  <si>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</si>
  <si>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</si>
  <si>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</si>
  <si>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</si>
  <si>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</si>
  <si>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</si>
  <si>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</si>
  <si>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</si>
  <si>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</si>
  <si>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</si>
  <si>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</si>
  <si>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</si>
  <si>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</si>
  <si>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</si>
  <si>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</si>
  <si>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</si>
  <si>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</si>
  <si>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</si>
  <si>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</si>
  <si>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</si>
  <si>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</si>
  <si>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</si>
  <si>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</si>
  <si>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</si>
  <si>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</si>
  <si>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</si>
  <si>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</si>
  <si>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</si>
  <si>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</si>
  <si>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</si>
  <si>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</si>
  <si>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</si>
  <si>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</si>
  <si>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</si>
  <si>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</si>
  <si>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</si>
  <si>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</si>
  <si>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</si>
  <si>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</si>
  <si>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</si>
  <si>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</si>
  <si>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</si>
  <si>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</si>
  <si>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</si>
  <si>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</si>
  <si>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</si>
  <si>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</si>
  <si>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</si>
  <si>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</si>
  <si>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</si>
  <si>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</si>
  <si>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</si>
  <si>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</si>
  <si>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</si>
  <si>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</si>
  <si>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</si>
  <si>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</si>
  <si>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</si>
  <si>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</si>
  <si>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</si>
  <si>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</si>
  <si>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</si>
  <si>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</si>
  <si>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</si>
  <si>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</si>
  <si>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</si>
  <si>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</si>
  <si>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</si>
  <si>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</si>
  <si>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</si>
  <si>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</si>
  <si>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</si>
  <si>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</si>
  <si>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</si>
  <si>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</si>
  <si>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</si>
  <si>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</si>
  <si>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</si>
  <si>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</si>
  <si>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</si>
  <si>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</si>
  <si>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</si>
  <si>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</si>
  <si>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</si>
  <si>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</si>
  <si>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</si>
  <si>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</si>
  <si>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</si>
  <si>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</si>
  <si>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</si>
  <si>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</si>
  <si>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</si>
  <si>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</si>
  <si>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</si>
  <si>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</si>
  <si>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</si>
  <si>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</si>
  <si>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</si>
  <si>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</si>
  <si>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</si>
  <si>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</si>
  <si>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</si>
  <si>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</si>
  <si>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</si>
  <si>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</si>
  <si>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</si>
  <si>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</si>
  <si>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</si>
  <si>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</si>
  <si>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</si>
  <si>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</si>
  <si>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</si>
  <si>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</si>
  <si>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</si>
  <si>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</si>
  <si>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</si>
  <si>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</si>
  <si>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</si>
  <si>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</si>
  <si>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</si>
  <si>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</si>
  <si>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</si>
  <si>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</si>
  <si>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</si>
  <si>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</si>
  <si>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</si>
  <si>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</si>
  <si>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</si>
  <si>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</si>
  <si>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</si>
  <si>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</si>
  <si>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</si>
  <si>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</si>
  <si>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</si>
  <si>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</si>
  <si>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</si>
  <si>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</si>
  <si>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</si>
  <si>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</si>
  <si>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</si>
  <si>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</si>
  <si>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</si>
  <si>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</si>
  <si>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</si>
  <si>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</si>
  <si>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</si>
  <si>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</si>
  <si>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</si>
  <si>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</si>
  <si>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</si>
  <si>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</si>
  <si>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</si>
  <si>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</si>
  <si>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</si>
  <si>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</si>
  <si>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</si>
  <si>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</si>
  <si>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</si>
  <si>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</si>
  <si>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</si>
  <si>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</si>
  <si>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</si>
  <si>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</si>
  <si>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</si>
  <si>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</si>
  <si>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</si>
  <si>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</si>
  <si>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</si>
  <si>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</si>
  <si>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</si>
  <si>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</si>
  <si>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</si>
  <si>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</si>
  <si>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</si>
  <si>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</si>
  <si>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</si>
  <si>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</si>
  <si>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</si>
  <si>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</si>
  <si>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</si>
  <si>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</si>
  <si>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</si>
  <si>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</si>
  <si>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</si>
  <si>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</si>
  <si>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</si>
  <si>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</si>
  <si>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</si>
  <si>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</si>
  <si>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</si>
  <si>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</si>
  <si>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</si>
  <si>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</si>
  <si>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</si>
  <si>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</si>
  <si>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</si>
  <si>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</si>
  <si>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</si>
  <si>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</si>
  <si>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</si>
  <si>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</si>
  <si>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</si>
  <si>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</si>
  <si>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</si>
  <si>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</si>
  <si>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</si>
  <si>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</si>
  <si>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</si>
  <si>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</si>
  <si>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</si>
  <si>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</si>
  <si>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</si>
  <si>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</si>
  <si>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</si>
  <si>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</si>
  <si>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</si>
  <si>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</si>
  <si>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</si>
  <si>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</si>
  <si>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</si>
  <si>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</si>
  <si>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</si>
  <si>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</si>
  <si>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</si>
  <si>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</si>
  <si>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</si>
  <si>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</si>
  <si>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</si>
  <si>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</si>
  <si>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</si>
  <si>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</si>
  <si>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</si>
  <si>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</si>
  <si>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</si>
  <si>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</si>
  <si>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</si>
  <si>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</si>
  <si>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</si>
  <si>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</si>
  <si>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</si>
  <si>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</si>
  <si>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</si>
  <si>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</si>
  <si>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</si>
  <si>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</si>
  <si>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</si>
  <si>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</si>
  <si>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</si>
  <si>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</si>
  <si>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</si>
  <si>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</si>
  <si>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</si>
  <si>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</si>
  <si>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</si>
  <si>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</si>
  <si>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</si>
  <si>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</si>
  <si>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</si>
  <si>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</si>
  <si>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</si>
  <si>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</si>
  <si>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</si>
  <si>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</si>
  <si>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</si>
  <si>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</si>
  <si>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</si>
  <si>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</si>
  <si>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</si>
  <si>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</si>
  <si>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</si>
  <si>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</si>
  <si>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</si>
  <si>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</si>
  <si>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</si>
  <si>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</si>
  <si>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</si>
  <si>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</si>
  <si>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</si>
  <si>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</si>
  <si>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</si>
  <si>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</si>
  <si>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</si>
  <si>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</si>
  <si>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</si>
  <si>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</si>
  <si>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</si>
  <si>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</si>
  <si>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</si>
  <si>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</si>
  <si>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</si>
  <si>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</si>
  <si>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</si>
  <si>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</si>
  <si>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</si>
  <si>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</si>
  <si>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</si>
  <si>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</si>
  <si>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</si>
  <si>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</si>
  <si>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</si>
  <si>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</si>
  <si>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</si>
  <si>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</si>
  <si>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</si>
  <si>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</si>
  <si>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</si>
  <si>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</si>
  <si>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</si>
  <si>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</si>
  <si>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</si>
  <si>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</si>
  <si>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</si>
  <si>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</si>
  <si>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</si>
  <si>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</si>
  <si>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</si>
  <si>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</si>
  <si>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</si>
  <si>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</si>
  <si>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</si>
  <si>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</si>
  <si>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</si>
  <si>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</si>
  <si>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</si>
  <si>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</si>
  <si>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</si>
  <si>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</si>
  <si>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</si>
  <si>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</si>
  <si>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</si>
  <si>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</si>
  <si>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</si>
  <si>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</si>
  <si>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</si>
  <si>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</si>
  <si>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</si>
  <si>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</si>
  <si>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</si>
  <si>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</si>
  <si>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</si>
  <si>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</si>
  <si>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</si>
  <si>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</si>
  <si>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</si>
  <si>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</si>
  <si>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</si>
  <si>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</si>
  <si>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</si>
  <si>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</si>
  <si>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</si>
  <si>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</si>
  <si>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</si>
  <si>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</si>
  <si>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</si>
  <si>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</si>
  <si>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</si>
  <si>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</si>
  <si>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</si>
  <si>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</si>
  <si>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</si>
  <si>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</si>
  <si>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</si>
  <si>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</si>
  <si>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</si>
  <si>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</si>
  <si>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</si>
  <si>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</si>
  <si>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</si>
  <si>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</si>
  <si>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</si>
  <si>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</si>
  <si>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</si>
  <si>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</si>
  <si>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</si>
  <si>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</si>
  <si>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</si>
  <si>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</si>
  <si>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</si>
  <si>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</si>
  <si>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</si>
  <si>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</si>
  <si>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</si>
  <si>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</si>
  <si>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</si>
  <si>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</si>
  <si>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</si>
  <si>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</si>
  <si>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</si>
  <si>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</si>
  <si>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</si>
  <si>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</si>
  <si>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</si>
  <si>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</si>
  <si>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</si>
  <si>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</si>
  <si>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</si>
  <si>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</si>
  <si>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</si>
  <si>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</si>
  <si>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</si>
  <si>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</si>
  <si>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</si>
  <si>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</si>
  <si>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</si>
  <si>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</si>
  <si>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</si>
  <si>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</si>
  <si>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</si>
  <si>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</si>
  <si>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</si>
  <si>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</si>
  <si>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</si>
  <si>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</si>
  <si>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</si>
  <si>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</si>
  <si>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</si>
  <si>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</si>
  <si>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</si>
  <si>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</si>
  <si>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</si>
  <si>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</si>
  <si>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</si>
  <si>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</si>
  <si>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</si>
  <si>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</si>
  <si>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</si>
  <si>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</si>
  <si>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</si>
  <si>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</si>
  <si>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</si>
  <si>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</si>
  <si>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</si>
  <si>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</si>
  <si>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</si>
  <si>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</si>
  <si>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</si>
  <si>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</si>
  <si>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</si>
  <si>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</si>
  <si>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</si>
  <si>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</si>
  <si>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</si>
  <si>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</si>
  <si>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</si>
  <si>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</si>
  <si>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</si>
  <si>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</si>
  <si>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</si>
  <si>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</si>
  <si>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</si>
  <si>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</si>
  <si>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</si>
  <si>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</si>
  <si>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</si>
  <si>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</si>
  <si>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</si>
  <si>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</si>
  <si>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</si>
  <si>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</si>
  <si>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</si>
  <si>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</si>
  <si>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</si>
  <si>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</si>
  <si>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</si>
  <si>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</si>
  <si>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</si>
  <si>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</si>
  <si>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</si>
  <si>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</si>
  <si>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</si>
  <si>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64620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</si>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</sst>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578704</v>
      </c>
      <c r="AT5" s="113">
        <f>'Pt 2 Premium and Claims'!AT5+'Pt 2 Premium and Claims'!AT6-'Pt 2 Premium and Claims'!AT7-'Pt 2 Premium and Claims'!AT13+'Pt 2 Premium and Claims'!AT14</f>
        <v>8385544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-9804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3069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-140</v>
      </c>
      <c r="E12" s="112">
        <f>'Pt 2 Premium and Claims'!E54</f>
        <v>-4843</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30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601557</v>
      </c>
      <c r="AT12" s="113">
        <f>'Pt 2 Premium and Claims'!AT54</f>
        <v>5085924</v>
      </c>
      <c r="AU12" s="113">
        <f>'Pt 2 Premium and Claims'!AU54</f>
        <v>0</v>
      </c>
      <c r="AV12" s="318"/>
      <c r="AW12" s="323"/>
    </row>
    <row r="13" spans="1:49" ht="25.5" x14ac:dyDescent="0.2">
      <c r="B13" s="161" t="s">
        <v>230</v>
      </c>
      <c r="C13" s="68" t="s">
        <v>37</v>
      </c>
      <c r="D13" s="115">
        <v>3126</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853518</v>
      </c>
      <c r="AT13" s="119">
        <v>0</v>
      </c>
      <c r="AU13" s="119">
        <v>0</v>
      </c>
      <c r="AV13" s="317"/>
      <c r="AW13" s="324"/>
    </row>
    <row r="14" spans="1:49" ht="25.5" x14ac:dyDescent="0.2">
      <c r="B14" s="161" t="s">
        <v>231</v>
      </c>
      <c r="C14" s="68" t="s">
        <v>6</v>
      </c>
      <c r="D14" s="115">
        <v>0</v>
      </c>
      <c r="E14" s="116">
        <v>1203</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277023</v>
      </c>
      <c r="AT14" s="119">
        <v>48</v>
      </c>
      <c r="AU14" s="119">
        <v>0</v>
      </c>
      <c r="AV14" s="317"/>
      <c r="AW14" s="324"/>
    </row>
    <row r="15" spans="1:49" ht="38.25" x14ac:dyDescent="0.2">
      <c r="B15" s="161" t="s">
        <v>232</v>
      </c>
      <c r="C15" s="68" t="s">
        <v>7</v>
      </c>
      <c r="D15" s="115">
        <v>1</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-1481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632</v>
      </c>
      <c r="E25" s="116">
        <f>D25</f>
        <v>632</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-27120</v>
      </c>
      <c r="AT25" s="119">
        <v>928954</v>
      </c>
      <c r="AU25" s="119">
        <v>0</v>
      </c>
      <c r="AV25" s="119">
        <v>868229</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9407</v>
      </c>
      <c r="AT27" s="119">
        <v>329</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501</v>
      </c>
      <c r="AT28" s="119">
        <v>10856</v>
      </c>
      <c r="AU28" s="119">
        <v>0</v>
      </c>
      <c r="AV28" s="119">
        <v>43741</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25853</v>
      </c>
      <c r="AU30" s="119">
        <v>0</v>
      </c>
      <c r="AV30" s="119">
        <v>1361</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146511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8</v>
      </c>
      <c r="AU35" s="119">
        <v>0</v>
      </c>
      <c r="AV35" s="119">
        <v>63</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12575</v>
      </c>
      <c r="AT37" s="125">
        <v>164</v>
      </c>
      <c r="AU37" s="125">
        <v>0</v>
      </c>
      <c r="AV37" s="125">
        <v>53356</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13</v>
      </c>
      <c r="AU38" s="119">
        <v>0</v>
      </c>
      <c r="AV38" s="119">
        <v>4330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180</v>
      </c>
      <c r="AU39" s="119">
        <v>0</v>
      </c>
      <c r="AV39" s="119">
        <v>1510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294</v>
      </c>
      <c r="AU40" s="119">
        <v>0</v>
      </c>
      <c r="AV40" s="119">
        <v>9077</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994</v>
      </c>
      <c r="AU41" s="119">
        <v>0</v>
      </c>
      <c r="AV41" s="119">
        <v>21223</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3681</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42</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7793</v>
      </c>
      <c r="AU44" s="125">
        <v>0</v>
      </c>
      <c r="AV44" s="125">
        <v>217147</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25</v>
      </c>
      <c r="AT45" s="119">
        <v>1511</v>
      </c>
      <c r="AU45" s="119">
        <v>0</v>
      </c>
      <c r="AV45" s="119">
        <v>329</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36379</v>
      </c>
      <c r="AU46" s="119">
        <v>0</v>
      </c>
      <c r="AV46" s="119">
        <v>74222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178595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v>
      </c>
      <c r="AU49" s="119">
        <v>0</v>
      </c>
      <c r="AV49" s="119">
        <v>-3</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176</v>
      </c>
      <c r="AT50" s="119">
        <v>20</v>
      </c>
      <c r="AU50" s="119">
        <v>0</v>
      </c>
      <c r="AV50" s="119">
        <v>220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41353</v>
      </c>
      <c r="AT51" s="119">
        <v>221993</v>
      </c>
      <c r="AU51" s="119">
        <v>0</v>
      </c>
      <c r="AV51" s="119">
        <v>1302138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36</v>
      </c>
      <c r="AT53" s="119">
        <v>6</v>
      </c>
      <c r="AU53" s="119">
        <v>0</v>
      </c>
      <c r="AV53" s="119">
        <v>4605</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4220136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608</v>
      </c>
      <c r="AT56" s="129">
        <v>50</v>
      </c>
      <c r="AU56" s="129">
        <v>0</v>
      </c>
      <c r="AV56" s="129">
        <v>6909</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608</v>
      </c>
      <c r="AT57" s="132">
        <v>88</v>
      </c>
      <c r="AU57" s="132">
        <v>0</v>
      </c>
      <c r="AV57" s="132">
        <v>13758</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3</v>
      </c>
      <c r="AU58" s="132">
        <v>0</v>
      </c>
      <c r="AV58" s="132">
        <v>31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6308</v>
      </c>
      <c r="AT59" s="132">
        <v>1008</v>
      </c>
      <c r="AU59" s="132">
        <v>0</v>
      </c>
      <c r="AV59" s="132">
        <v>164084</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525.66666666666663</v>
      </c>
      <c r="AT60" s="135">
        <f>AT59/12</f>
        <v>84</v>
      </c>
      <c r="AU60" s="135">
        <f>AU59/12</f>
        <v>0</v>
      </c>
      <c r="AV60" s="135">
        <f>AV59/12</f>
        <v>13673.666666666666</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151440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51354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661</v>
      </c>
      <c r="E5" s="124">
        <v>0</v>
      </c>
      <c r="F5" s="124"/>
      <c r="G5" s="136"/>
      <c r="H5" s="136"/>
      <c r="I5" s="123">
        <v>0</v>
      </c>
      <c r="J5" s="123">
        <v>0</v>
      </c>
      <c r="K5" s="124">
        <v>0</v>
      </c>
      <c r="L5" s="124"/>
      <c r="M5" s="124"/>
      <c r="N5" s="124"/>
      <c r="O5" s="123">
        <v>0</v>
      </c>
      <c r="P5" s="123">
        <v>509</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584589</v>
      </c>
      <c r="AT5" s="125">
        <v>8435908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7218</v>
      </c>
      <c r="AT6" s="119">
        <v>53</v>
      </c>
      <c r="AU6" s="119">
        <v>0</v>
      </c>
      <c r="AV6" s="317"/>
      <c r="AW6" s="324"/>
    </row>
    <row r="7" spans="2:49" x14ac:dyDescent="0.2">
      <c r="B7" s="182" t="s">
        <v>280</v>
      </c>
      <c r="C7" s="139" t="s">
        <v>9</v>
      </c>
      <c r="D7" s="115">
        <v>661</v>
      </c>
      <c r="E7" s="116"/>
      <c r="F7" s="116"/>
      <c r="G7" s="117"/>
      <c r="H7" s="117"/>
      <c r="I7" s="115"/>
      <c r="J7" s="115">
        <v>0</v>
      </c>
      <c r="K7" s="116"/>
      <c r="L7" s="116"/>
      <c r="M7" s="116"/>
      <c r="N7" s="116"/>
      <c r="O7" s="115"/>
      <c r="P7" s="115">
        <v>509</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13149</v>
      </c>
      <c r="AT7" s="119">
        <v>48495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10554</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10554</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-14153</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14153</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-46</v>
      </c>
      <c r="AT13" s="119">
        <v>1922</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4787</v>
      </c>
      <c r="E23" s="294"/>
      <c r="F23" s="294"/>
      <c r="G23" s="294"/>
      <c r="H23" s="294"/>
      <c r="I23" s="298"/>
      <c r="J23" s="115">
        <v>0</v>
      </c>
      <c r="K23" s="294"/>
      <c r="L23" s="294"/>
      <c r="M23" s="294"/>
      <c r="N23" s="294"/>
      <c r="O23" s="298"/>
      <c r="P23" s="115">
        <v>30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718801</v>
      </c>
      <c r="AT23" s="119">
        <v>5112947</v>
      </c>
      <c r="AU23" s="119">
        <v>0</v>
      </c>
      <c r="AV23" s="317"/>
      <c r="AW23" s="324"/>
    </row>
    <row r="24" spans="2:49" ht="28.5" customHeight="1" x14ac:dyDescent="0.2">
      <c r="B24" s="184" t="s">
        <v>114</v>
      </c>
      <c r="C24" s="139"/>
      <c r="D24" s="299"/>
      <c r="E24" s="116">
        <v>-1229</v>
      </c>
      <c r="F24" s="116"/>
      <c r="G24" s="116"/>
      <c r="H24" s="116"/>
      <c r="I24" s="115">
        <v>0</v>
      </c>
      <c r="J24" s="299"/>
      <c r="K24" s="116">
        <v>0</v>
      </c>
      <c r="L24" s="116"/>
      <c r="M24" s="116"/>
      <c r="N24" s="116"/>
      <c r="O24" s="115">
        <v>0</v>
      </c>
      <c r="P24" s="299"/>
      <c r="Q24" s="116">
        <v>-33</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63779</v>
      </c>
      <c r="AT26" s="119">
        <v>1014464</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2541</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1041487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v>
      </c>
      <c r="E36" s="116">
        <f>D36</f>
        <v>15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10554</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10554</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-14153</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14153</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17</v>
      </c>
      <c r="E49" s="116">
        <v>0</v>
      </c>
      <c r="F49" s="116"/>
      <c r="G49" s="116"/>
      <c r="H49" s="116"/>
      <c r="I49" s="115">
        <v>0</v>
      </c>
      <c r="J49" s="115">
        <v>0</v>
      </c>
      <c r="K49" s="116">
        <v>0</v>
      </c>
      <c r="L49" s="116"/>
      <c r="M49" s="116"/>
      <c r="N49" s="116"/>
      <c r="O49" s="115">
        <v>0</v>
      </c>
      <c r="P49" s="115">
        <v>-124</v>
      </c>
      <c r="Q49" s="116">
        <v>-63</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181023</v>
      </c>
      <c r="AT49" s="119">
        <v>0</v>
      </c>
      <c r="AU49" s="119">
        <v>0</v>
      </c>
      <c r="AV49" s="317"/>
      <c r="AW49" s="324"/>
    </row>
    <row r="50" spans="2:49" x14ac:dyDescent="0.2">
      <c r="B50" s="182" t="s">
        <v>119</v>
      </c>
      <c r="C50" s="139" t="s">
        <v>34</v>
      </c>
      <c r="D50" s="115">
        <v>1245</v>
      </c>
      <c r="E50" s="295"/>
      <c r="F50" s="295"/>
      <c r="G50" s="295"/>
      <c r="H50" s="295"/>
      <c r="I50" s="299"/>
      <c r="J50" s="115">
        <v>0</v>
      </c>
      <c r="K50" s="295"/>
      <c r="L50" s="295"/>
      <c r="M50" s="295"/>
      <c r="N50" s="295"/>
      <c r="O50" s="299"/>
      <c r="P50" s="115">
        <v>-154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-140</v>
      </c>
      <c r="E54" s="121">
        <f>E24+E27+E31+E35-E36+E39+E42+E45+E46-E49+E51+E52+E53</f>
        <v>-4843</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30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601557</v>
      </c>
      <c r="AT54" s="122">
        <f>AT23+AT26-AT28+AT30-AT32+AT34-AT36+AT38+AT41-AT43+AT45+AT46-AT47-AT49+AT50+AT51+AT52+AT53</f>
        <v>5085924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-2785.91</v>
      </c>
      <c r="D5" s="124">
        <v>78797</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-103</v>
      </c>
      <c r="D6" s="116">
        <v>79867</v>
      </c>
      <c r="E6" s="121">
        <f>SUM('Pt 1 Summary of Data'!E$12,'Pt 1 Summary of Data'!E$22)+SUM('Pt 1 Summary of Data'!G$12,'Pt 1 Summary of Data'!G$22)-SUM('Pt 1 Summary of Data'!H$12,'Pt 1 Summary of Data'!H$22)</f>
        <v>-4843</v>
      </c>
      <c r="F6" s="121">
        <f>SUM(C6:E6)</f>
        <v>74921</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30</v>
      </c>
      <c r="P6" s="121">
        <f>SUM(M6:O6)</f>
        <v>30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v>
      </c>
      <c r="D7" s="116">
        <v>102</v>
      </c>
      <c r="E7" s="121">
        <f>SUM('Pt 1 Summary of Data'!E37:E41)+MAX(0,MIN('Pt 1 Summary of Data'!E42,0.3%*('Pt 1 Summary of Data'!E5-SUM(E9:E11))))</f>
        <v>0</v>
      </c>
      <c r="F7" s="121">
        <f>SUM(C7:E7)</f>
        <v>103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-102</v>
      </c>
      <c r="D12" s="121">
        <f>SUM(D$6:D$7)+IF(AND(OR('Company Information'!$C$12="District of Columbia",'Company Information'!$C$12="Massachusetts",'Company Information'!$C$12="Vermont"),SUM($C$6:$F$11,$C$15:$F$16,$C$37:$D$37)&lt;&gt;0),SUM(I$6:I$7),0)</f>
        <v>79969</v>
      </c>
      <c r="E12" s="121">
        <f>SUM(E$6:E$7)-SUM(E$8:E$11)+IF(AND(OR('Company Information'!$C$12="District of Columbia",'Company Information'!$C$12="Massachusetts",'Company Information'!$C$12="Vermont"),SUM($C$6:$F$11,$C$15:$F$16,$C$37:$D$37)&lt;&gt;0),SUM(J$6:J$7)-SUM(J$10:J$11),0)</f>
        <v>-4843</v>
      </c>
      <c r="F12" s="121">
        <f>IFERROR(SUM(C$12:E$12)+C$17*MAX(0,E$49-C$49)+D$17*MAX(0,E$49-D$49),0)</f>
        <v>75024</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30</v>
      </c>
      <c r="P12" s="121">
        <f>SUM(M$12:O$12)+M$17*MAX(0,O$49-M$49)+N$17*MAX(0,O$49-N$49)</f>
        <v>30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23701</v>
      </c>
      <c r="E15" s="112">
        <f>SUM('Pt 1 Summary of Data'!E$5:E$7)+SUM('Pt 1 Summary of Data'!G$5:G$7)-SUM('Pt 1 Summary of Data'!H$5:H$7)-SUM(E$9:E$11)+D$55</f>
        <v>0</v>
      </c>
      <c r="F15" s="112">
        <f>SUM(C15:E15)</f>
        <v>23701</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952</v>
      </c>
      <c r="D16" s="116">
        <v>-20487</v>
      </c>
      <c r="E16" s="121">
        <f>'Pt 1 Summary of Data'!E25+'Pt 1 Summary of Data'!E26+'Pt 1 Summary of Data'!E27+'Pt 1 Summary of Data'!E28+'Pt 1 Summary of Data'!E30+'Pt 1 Summary of Data'!E31+'Pt 1 Summary of Data'!E34+'Pt 1 Summary of Data'!E35+'Pt 3 MLR and Rebate Calculation'!D56</f>
        <v>632</v>
      </c>
      <c r="F16" s="121">
        <f>SUM(C16:E16)</f>
        <v>-18903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-952</v>
      </c>
      <c r="D17" s="121">
        <f>D$15-D$16+IF(AND(OR('Company Information'!$C$12="District of Columbia",'Company Information'!$C$12="Massachusetts",'Company Information'!$C$12="Vermont"),SUM($C$6:$F$11,$C$15:$F$16,$C$37:$D$37)&lt;&gt;0),I$15-I$16,0)</f>
        <v>44188</v>
      </c>
      <c r="E17" s="121">
        <f>E$15-E$16+IF(AND(OR('Company Information'!$C$12="District of Columbia",'Company Information'!$C$12="Massachusetts",'Company Information'!$C$12="Vermont"),SUM($C$6:$F$11,$C$15:$F$16,$C$37:$D$37)&lt;&gt;0),J$15-J$16,0)</f>
        <v>-632</v>
      </c>
      <c r="F17" s="121">
        <f>F$15-F$16+IF(AND(OR('Company Information'!$C$12="District of Columbia",'Company Information'!$C$12="Massachusetts",'Company Information'!$C$12="Vermont"),SUM($C$6:$F$11,$C$15:$F$16,$C$37:$D$37)&lt;&gt;0),K$15-K$16,0)</f>
        <v>42604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5</v>
      </c>
      <c r="E37" s="262">
        <f>'Pt 1 Summary of Data'!E60</f>
        <v>0</v>
      </c>
      <c r="F37" s="262">
        <f>SUM(C37:E37)</f>
        <v>5</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