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46" i="10"/>
  <c r="AA38" i="10"/>
  <c r="AB38" i="10" s="1"/>
  <c r="AB39" i="10" s="1"/>
  <c r="AA16" i="10"/>
  <c r="AB16" i="10" s="1"/>
  <c r="AA15" i="10"/>
  <c r="AA17" i="10" s="1"/>
  <c r="Z46" i="10"/>
  <c r="Z17" i="10"/>
  <c r="Z13" i="10"/>
  <c r="Y46" i="10"/>
  <c r="Y17" i="10"/>
  <c r="Y13" i="10"/>
  <c r="X41" i="10"/>
  <c r="W16" i="10"/>
  <c r="X16" i="10" s="1"/>
  <c r="W7" i="10"/>
  <c r="X7" i="10" s="1"/>
  <c r="T41" i="10"/>
  <c r="S16" i="10"/>
  <c r="T16" i="10" s="1"/>
  <c r="P41" i="10"/>
  <c r="O38" i="10"/>
  <c r="P38" i="10" s="1"/>
  <c r="O16" i="10"/>
  <c r="P16" i="10" s="1"/>
  <c r="O7" i="10"/>
  <c r="P7" i="10" s="1"/>
  <c r="N17" i="10"/>
  <c r="N45" i="10" s="1"/>
  <c r="N12" i="10"/>
  <c r="M17" i="10"/>
  <c r="M12" i="10"/>
  <c r="L60" i="10"/>
  <c r="L58" i="10" s="1"/>
  <c r="L59" i="10"/>
  <c r="L16" i="10"/>
  <c r="L10" i="10"/>
  <c r="L7" i="10"/>
  <c r="K41" i="10"/>
  <c r="K11" i="10"/>
  <c r="J16" i="10"/>
  <c r="K16" i="10" s="1"/>
  <c r="J11" i="10"/>
  <c r="J10" i="10"/>
  <c r="K10" i="10" s="1"/>
  <c r="G58" i="10"/>
  <c r="G16" i="10"/>
  <c r="G10" i="10"/>
  <c r="G9" i="10"/>
  <c r="G8" i="10"/>
  <c r="F41" i="10"/>
  <c r="F11" i="10"/>
  <c r="E16" i="10"/>
  <c r="F16" i="10" s="1"/>
  <c r="E11" i="10"/>
  <c r="E10" i="10"/>
  <c r="F10" i="10" s="1"/>
  <c r="E9" i="10"/>
  <c r="F9" i="10" s="1"/>
  <c r="E8" i="10"/>
  <c r="F8" i="10" s="1"/>
  <c r="AU55" i="18"/>
  <c r="AU54" i="18"/>
  <c r="AT55" i="18"/>
  <c r="AT54" i="18"/>
  <c r="AS55" i="18"/>
  <c r="AS54" i="18"/>
  <c r="AC55" i="18"/>
  <c r="AC54" i="18"/>
  <c r="AB55" i="18"/>
  <c r="AB54" i="18"/>
  <c r="AA55" i="18"/>
  <c r="AA54" i="18"/>
  <c r="Z55" i="18"/>
  <c r="Z54" i="18"/>
  <c r="Y55" i="18"/>
  <c r="Y54" i="18"/>
  <c r="X55" i="18"/>
  <c r="X54" i="18"/>
  <c r="W55" i="18"/>
  <c r="W54" i="18"/>
  <c r="V55" i="18"/>
  <c r="V54" i="18"/>
  <c r="U55" i="18"/>
  <c r="U54" i="18"/>
  <c r="T55" i="18"/>
  <c r="T54" i="18"/>
  <c r="S55" i="18"/>
  <c r="S54" i="18"/>
  <c r="R55" i="18"/>
  <c r="R54" i="18"/>
  <c r="Q55" i="18"/>
  <c r="Q54" i="18"/>
  <c r="P55" i="18"/>
  <c r="P54" i="18"/>
  <c r="O55" i="18"/>
  <c r="O54" i="18"/>
  <c r="N55" i="18"/>
  <c r="N54" i="18"/>
  <c r="M55" i="18"/>
  <c r="M54" i="18"/>
  <c r="L55" i="18"/>
  <c r="L54" i="18"/>
  <c r="K55" i="18"/>
  <c r="K54" i="18"/>
  <c r="J55" i="18"/>
  <c r="J54" i="18"/>
  <c r="I55" i="18"/>
  <c r="I54" i="18"/>
  <c r="H55" i="18"/>
  <c r="H54" i="18"/>
  <c r="G55" i="18"/>
  <c r="G54" i="18"/>
  <c r="F55" i="18"/>
  <c r="F54" i="18"/>
  <c r="E55" i="18"/>
  <c r="E54" i="18"/>
  <c r="D55" i="18"/>
  <c r="D54" i="18"/>
  <c r="AV60" i="4"/>
  <c r="AU60" i="4"/>
  <c r="AU22" i="4"/>
  <c r="AU12" i="4"/>
  <c r="AU5" i="4"/>
  <c r="AT60" i="4"/>
  <c r="AT22" i="4"/>
  <c r="AT12" i="4"/>
  <c r="AT5" i="4"/>
  <c r="AS60" i="4"/>
  <c r="AS22" i="4"/>
  <c r="AS12" i="4"/>
  <c r="AS5" i="4"/>
  <c r="AC60" i="4"/>
  <c r="AC22" i="4"/>
  <c r="AC12" i="4"/>
  <c r="AC5" i="4"/>
  <c r="AB60" i="4"/>
  <c r="AB22" i="4"/>
  <c r="AA6" i="10" s="1"/>
  <c r="AB12" i="4"/>
  <c r="AB5" i="4"/>
  <c r="AA7" i="10" s="1"/>
  <c r="AB7" i="10" s="1"/>
  <c r="AA60" i="4"/>
  <c r="AA22" i="4"/>
  <c r="AA12" i="4"/>
  <c r="AA5" i="4"/>
  <c r="Z60" i="4"/>
  <c r="Z22" i="4"/>
  <c r="Z12" i="4"/>
  <c r="Z5" i="4"/>
  <c r="Y60" i="4"/>
  <c r="Y22" i="4"/>
  <c r="Y12" i="4"/>
  <c r="Y5" i="4"/>
  <c r="W15" i="10" s="1"/>
  <c r="X15" i="10" s="1"/>
  <c r="X60" i="4"/>
  <c r="X22" i="4"/>
  <c r="X12" i="4"/>
  <c r="X5" i="4"/>
  <c r="W60" i="4"/>
  <c r="W22" i="4"/>
  <c r="W12" i="4"/>
  <c r="W5" i="4"/>
  <c r="V60" i="4"/>
  <c r="V22" i="4"/>
  <c r="S6" i="10" s="1"/>
  <c r="V12" i="4"/>
  <c r="V5" i="4"/>
  <c r="S7" i="10" s="1"/>
  <c r="T7" i="10" s="1"/>
  <c r="U60" i="4"/>
  <c r="U22" i="4"/>
  <c r="U12" i="4"/>
  <c r="U5" i="4"/>
  <c r="T60" i="4"/>
  <c r="T22" i="4"/>
  <c r="T12" i="4"/>
  <c r="T5" i="4"/>
  <c r="S60" i="4"/>
  <c r="S22" i="4"/>
  <c r="S12" i="4"/>
  <c r="S5" i="4"/>
  <c r="R60" i="4"/>
  <c r="R22" i="4"/>
  <c r="R12" i="4"/>
  <c r="R5" i="4"/>
  <c r="Q60" i="4"/>
  <c r="Q22" i="4"/>
  <c r="Q12" i="4"/>
  <c r="Q5" i="4"/>
  <c r="O15" i="10" s="1"/>
  <c r="P15" i="10" s="1"/>
  <c r="P17" i="10" s="1"/>
  <c r="P60" i="4"/>
  <c r="P22" i="4"/>
  <c r="P12" i="4"/>
  <c r="P5" i="4"/>
  <c r="O60" i="4"/>
  <c r="O22" i="4"/>
  <c r="O12" i="4"/>
  <c r="O5" i="4"/>
  <c r="N60" i="4"/>
  <c r="N22" i="4"/>
  <c r="N12" i="4"/>
  <c r="N5" i="4"/>
  <c r="M60" i="4"/>
  <c r="M22" i="4"/>
  <c r="M12" i="4"/>
  <c r="M5" i="4"/>
  <c r="L60" i="4"/>
  <c r="L22" i="4"/>
  <c r="L12" i="4"/>
  <c r="L5" i="4"/>
  <c r="K60" i="4"/>
  <c r="K22" i="4"/>
  <c r="K12" i="4"/>
  <c r="K5" i="4"/>
  <c r="J7" i="10" s="1"/>
  <c r="K7" i="10" s="1"/>
  <c r="J60" i="4"/>
  <c r="J22" i="4"/>
  <c r="J12" i="4"/>
  <c r="J5" i="4"/>
  <c r="I60" i="4"/>
  <c r="I22" i="4"/>
  <c r="I12" i="4"/>
  <c r="G6" i="10" s="1"/>
  <c r="I5" i="4"/>
  <c r="G15" i="10" s="1"/>
  <c r="H60" i="4"/>
  <c r="H22" i="4"/>
  <c r="H12" i="4"/>
  <c r="H5" i="4"/>
  <c r="G60" i="4"/>
  <c r="G22" i="4"/>
  <c r="G12" i="4"/>
  <c r="G5" i="4"/>
  <c r="F60" i="4"/>
  <c r="F22" i="4"/>
  <c r="F12" i="4"/>
  <c r="F5" i="4"/>
  <c r="E60" i="4"/>
  <c r="E22" i="4"/>
  <c r="E6" i="10" s="1"/>
  <c r="E12" i="4"/>
  <c r="E5" i="4"/>
  <c r="E15" i="10" s="1"/>
  <c r="D60" i="4"/>
  <c r="D22" i="4"/>
  <c r="D12" i="4"/>
  <c r="D5" i="4"/>
  <c r="F15" i="10" l="1"/>
  <c r="E17" i="10"/>
  <c r="G27" i="10"/>
  <c r="G24" i="10"/>
  <c r="G23" i="10"/>
  <c r="P52" i="10"/>
  <c r="P42" i="10"/>
  <c r="D17" i="10"/>
  <c r="F6" i="10"/>
  <c r="C12" i="10" s="1"/>
  <c r="C17" i="10"/>
  <c r="T6" i="10"/>
  <c r="AA13" i="10"/>
  <c r="AB6" i="10"/>
  <c r="M45" i="10"/>
  <c r="E7" i="10"/>
  <c r="F7" i="10" s="1"/>
  <c r="J15" i="10"/>
  <c r="L15" i="10"/>
  <c r="S15" i="10"/>
  <c r="AB15" i="10"/>
  <c r="AB17" i="10" s="1"/>
  <c r="AB53" i="10" s="1"/>
  <c r="H11" i="16" s="1"/>
  <c r="J6" i="10"/>
  <c r="L6" i="10"/>
  <c r="O6" i="10"/>
  <c r="W6" i="10"/>
  <c r="G7" i="10"/>
  <c r="G20" i="10" s="1"/>
  <c r="O17" i="10"/>
  <c r="AB13" i="10"/>
  <c r="AB52" i="10"/>
  <c r="AB46" i="10"/>
  <c r="AB42" i="10"/>
  <c r="P6" i="10" l="1"/>
  <c r="O12" i="10"/>
  <c r="J12" i="10"/>
  <c r="K6" i="10"/>
  <c r="H17" i="10" s="1"/>
  <c r="H12" i="10"/>
  <c r="E38" i="10"/>
  <c r="G32" i="10"/>
  <c r="G19" i="10"/>
  <c r="G22" i="10" s="1"/>
  <c r="K15" i="10"/>
  <c r="K17" i="10" s="1"/>
  <c r="C45" i="10"/>
  <c r="AB48" i="10"/>
  <c r="AB51" i="10" s="1"/>
  <c r="AB47" i="10"/>
  <c r="L20" i="10"/>
  <c r="L19" i="10"/>
  <c r="L22" i="10" s="1"/>
  <c r="T15" i="10"/>
  <c r="S13" i="10" s="1"/>
  <c r="D12" i="10"/>
  <c r="D45" i="10" s="1"/>
  <c r="E12" i="10"/>
  <c r="F12" i="10" s="1"/>
  <c r="F17" i="10"/>
  <c r="X6" i="10"/>
  <c r="U17" i="10"/>
  <c r="V17" i="10"/>
  <c r="V46" i="10" s="1"/>
  <c r="W38" i="10"/>
  <c r="V13" i="10"/>
  <c r="U13" i="10"/>
  <c r="L32" i="10"/>
  <c r="L24" i="10"/>
  <c r="L27" i="10"/>
  <c r="L23" i="10"/>
  <c r="R13" i="10"/>
  <c r="H45" i="10" l="1"/>
  <c r="K12" i="10"/>
  <c r="X38" i="10"/>
  <c r="X17" i="10"/>
  <c r="W17" i="10"/>
  <c r="W46" i="10" s="1"/>
  <c r="R17" i="10"/>
  <c r="R46" i="10" s="1"/>
  <c r="J17" i="10"/>
  <c r="I17" i="10"/>
  <c r="I45" i="10" s="1"/>
  <c r="O45" i="10"/>
  <c r="P39" i="10" s="1"/>
  <c r="P12" i="10"/>
  <c r="P45" i="10" s="1"/>
  <c r="T17" i="10"/>
  <c r="Q13" i="10"/>
  <c r="S38" i="10"/>
  <c r="U46" i="10"/>
  <c r="X13" i="10"/>
  <c r="S17" i="10"/>
  <c r="F38" i="10"/>
  <c r="E45" i="10"/>
  <c r="J38" i="10"/>
  <c r="L30" i="10"/>
  <c r="L21" i="10"/>
  <c r="L26" i="10" s="1"/>
  <c r="L25" i="10" s="1"/>
  <c r="L28" i="10" s="1"/>
  <c r="W13" i="10"/>
  <c r="Q17" i="10"/>
  <c r="L31" i="10"/>
  <c r="L29" i="10" s="1"/>
  <c r="L33" i="10" s="1"/>
  <c r="L34" i="10" s="1"/>
  <c r="G30" i="10"/>
  <c r="G31" i="10" s="1"/>
  <c r="G29" i="10" s="1"/>
  <c r="G33" i="10" s="1"/>
  <c r="G34" i="10" s="1"/>
  <c r="G21" i="10"/>
  <c r="G26" i="10" s="1"/>
  <c r="G25" i="10" s="1"/>
  <c r="G28" i="10" s="1"/>
  <c r="I12" i="10"/>
  <c r="T13" i="10" l="1"/>
  <c r="Q46" i="10"/>
  <c r="J45" i="10"/>
  <c r="K38" i="10"/>
  <c r="X53" i="10"/>
  <c r="G11" i="16" s="1"/>
  <c r="X39" i="10"/>
  <c r="X46" i="10"/>
  <c r="X52" i="10"/>
  <c r="X42" i="10"/>
  <c r="P48" i="10"/>
  <c r="P51" i="10" s="1"/>
  <c r="P53" i="10" s="1"/>
  <c r="E11" i="16" s="1"/>
  <c r="P47" i="10"/>
  <c r="F52" i="10"/>
  <c r="F45" i="10"/>
  <c r="F39" i="10"/>
  <c r="F42" i="10" s="1"/>
  <c r="T38" i="10"/>
  <c r="S46" i="10"/>
  <c r="K52" i="10" l="1"/>
  <c r="K42" i="10"/>
  <c r="K39" i="10"/>
  <c r="K53" i="10"/>
  <c r="D11" i="16" s="1"/>
  <c r="K45" i="10"/>
  <c r="X48" i="10"/>
  <c r="X51" i="10" s="1"/>
  <c r="X47" i="10"/>
  <c r="T52" i="10"/>
  <c r="T46" i="10"/>
  <c r="T42" i="10"/>
  <c r="T53" i="10"/>
  <c r="F11" i="16" s="1"/>
  <c r="T39" i="10"/>
  <c r="F47" i="10"/>
  <c r="F48" i="10" s="1"/>
  <c r="F51" i="10" s="1"/>
  <c r="F53" i="10" s="1"/>
  <c r="C11" i="16" s="1"/>
  <c r="T48" i="10" l="1"/>
  <c r="T51" i="10" s="1"/>
  <c r="T47" i="10"/>
  <c r="K48" i="10"/>
  <c r="K51" i="10" s="1"/>
  <c r="K47"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<sst xmlns="http://schemas.openxmlformats.org/spreadsheetml/2006/main" count="570" uniqueCount="508">
  <si>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</si>
  <si>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</si>
  <si>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</si>
  <si>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</si>
  <si>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</si>
  <si>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</si>
  <si>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</si>
  <si>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</si>
  <si>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</si>
  <si>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</si>
  <si>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</si>
  <si>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</si>
  <si>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</si>
  <si>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</si>
  <si>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</si>
  <si>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</si>
  <si>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</si>
  <si>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</si>
  <si>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</si>
  <si>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</si>
  <si>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</si>
  <si>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</si>
  <si>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</si>
  <si>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</si>
  <si>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</si>
  <si>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</si>
  <si>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</si>
  <si>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</si>
  <si>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</si>
  <si>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</si>
  <si>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</si>
  <si>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</si>
  <si>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</si>
  <si>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</si>
  <si>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</si>
  <si>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</si>
  <si>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</si>
  <si>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</si>
  <si>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</si>
  <si>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</si>
  <si>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</si>
  <si>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</si>
  <si>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</si>
  <si>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</si>
  <si>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</si>
  <si>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</si>
  <si>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</si>
  <si>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</si>
  <si>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</si>
  <si>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</si>
  <si>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</si>
  <si>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</si>
  <si>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</si>
  <si>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</si>
  <si>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</si>
  <si>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</si>
  <si>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</si>
  <si>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</si>
  <si>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</si>
  <si>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</si>
  <si>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</si>
  <si>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</si>
  <si>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</si>
  <si>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</si>
  <si>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</si>
  <si>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</si>
  <si>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</si>
  <si>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</si>
  <si>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</si>
  <si>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</si>
  <si>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</si>
  <si>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</si>
  <si>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</si>
  <si>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</si>
  <si>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</si>
  <si>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</si>
  <si>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</si>
  <si>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</si>
  <si>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</si>
  <si>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</si>
  <si>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</si>
  <si>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</si>
  <si>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</si>
  <si>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</si>
  <si>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</si>
  <si>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</si>
  <si>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</si>
  <si>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</si>
  <si>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</si>
  <si>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</si>
  <si>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</si>
  <si>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</si>
  <si>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</si>
  <si>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</si>
  <si>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</si>
  <si>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</si>
  <si>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</si>
  <si>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</si>
  <si>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</si>
  <si>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</si>
  <si>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</si>
  <si>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</si>
  <si>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</si>
  <si>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</si>
  <si>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</si>
  <si>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</si>
  <si>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</si>
  <si>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</si>
  <si>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</si>
  <si>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</si>
  <si>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</si>
  <si>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</si>
  <si>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</si>
  <si>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</si>
  <si>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</si>
  <si>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</si>
  <si>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</si>
  <si>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</si>
  <si>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</si>
  <si>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</si>
  <si>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</si>
  <si>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</si>
  <si>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</si>
  <si>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</si>
  <si>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</si>
  <si>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</si>
  <si>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</si>
  <si>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</si>
  <si>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</si>
  <si>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</si>
  <si>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</si>
  <si>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</si>
  <si>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</si>
  <si>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</si>
  <si>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</si>
  <si>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</si>
  <si>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</si>
  <si>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</si>
  <si>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</si>
  <si>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</si>
  <si>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</si>
  <si>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</si>
  <si>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</si>
  <si>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</si>
  <si>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</si>
  <si>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</si>
  <si>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</si>
  <si>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</si>
  <si>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</si>
  <si>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</si>
  <si>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</si>
  <si>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</si>
  <si>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</si>
  <si>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</si>
  <si>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</si>
  <si>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</si>
  <si>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</si>
  <si>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</si>
  <si>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</si>
  <si>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</si>
  <si>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</si>
  <si>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</si>
  <si>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</si>
  <si>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</si>
  <si>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</si>
  <si>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</si>
  <si>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</si>
  <si>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</si>
  <si>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</si>
  <si>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</si>
  <si>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</si>
  <si>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</si>
  <si>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</si>
  <si>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</si>
  <si>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</si>
  <si>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</si>
  <si>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</si>
  <si>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</si>
  <si>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</si>
  <si>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</si>
  <si>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</si>
  <si>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</si>
  <si>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</si>
  <si>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</si>
  <si>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</si>
  <si>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</si>
  <si>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</si>
  <si>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</si>
  <si>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</si>
  <si>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</si>
  <si>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</si>
  <si>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</si>
  <si>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</si>
  <si>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</si>
  <si>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</si>
  <si>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</si>
  <si>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</si>
  <si>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</si>
  <si>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</si>
  <si>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</si>
  <si>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</si>
  <si>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</si>
  <si>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</si>
  <si>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</si>
  <si>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</si>
  <si>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</si>
  <si>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</si>
  <si>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</si>
  <si>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</si>
  <si>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</si>
  <si>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</si>
  <si>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</si>
  <si>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</si>
  <si>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</si>
  <si>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</si>
  <si>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</si>
  <si>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</si>
  <si>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</si>
  <si>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</si>
  <si>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</si>
  <si>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</si>
  <si>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</si>
  <si>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</si>
  <si>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</si>
  <si>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</si>
  <si>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</si>
  <si>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</si>
  <si>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</si>
  <si>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</si>
  <si>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</si>
  <si>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</si>
  <si>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</si>
  <si>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</si>
  <si>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</si>
  <si>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</si>
  <si>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</si>
  <si>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</si>
  <si>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</si>
  <si>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</si>
  <si>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</si>
  <si>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</si>
  <si>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</si>
  <si>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</si>
  <si>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</si>
  <si>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</si>
  <si>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</si>
  <si>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</si>
  <si>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</si>
  <si>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</si>
  <si>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</si>
  <si>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</si>
  <si>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</si>
  <si>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</si>
  <si>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</si>
  <si>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</si>
  <si>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</si>
  <si>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</si>
  <si>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</si>
  <si>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</si>
  <si>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</si>
  <si>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</si>
  <si>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</si>
  <si>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</si>
  <si>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</si>
  <si>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</si>
  <si>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</si>
  <si>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</si>
  <si>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</si>
  <si>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</si>
  <si>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</si>
  <si>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</si>
  <si>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</si>
  <si>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</si>
  <si>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</si>
  <si>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</si>
  <si>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</si>
  <si>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</si>
  <si>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</si>
  <si>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</si>
  <si>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</si>
  <si>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</si>
  <si>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</si>
  <si>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</si>
  <si>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</si>
  <si>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</si>
  <si>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</si>
  <si>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</si>
  <si>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</si>
  <si>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</si>
  <si>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</si>
  <si>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</si>
  <si>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</si>
  <si>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</si>
  <si>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</si>
  <si>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</si>
  <si>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</si>
  <si>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</si>
  <si>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</si>
  <si>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</si>
  <si>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</si>
  <si>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</si>
  <si>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</si>
  <si>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</si>
  <si>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</si>
  <si>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</si>
  <si>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</si>
  <si>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</si>
  <si>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</si>
  <si>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</si>
  <si>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</si>
  <si>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</si>
  <si>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</si>
  <si>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</si>
  <si>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</si>
  <si>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</si>
  <si>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</si>
  <si>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</si>
  <si>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</si>
  <si>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</si>
  <si>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</si>
  <si>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</si>
  <si>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</si>
  <si>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</si>
  <si>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</si>
  <si>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</si>
  <si>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</si>
  <si>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</si>
  <si>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</si>
  <si>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</si>
  <si>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</si>
  <si>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</si>
  <si>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</si>
  <si>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</si>
  <si>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</si>
  <si>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</si>
  <si>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</si>
  <si>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</si>
  <si>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</si>
  <si>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</si>
  <si>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</si>
  <si>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</si>
  <si>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</si>
  <si>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</si>
  <si>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</si>
  <si>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</si>
  <si>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</si>
  <si>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</si>
  <si>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</si>
  <si>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</si>
  <si>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</si>
  <si>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</si>
  <si>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</si>
  <si>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</si>
  <si>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</si>
  <si>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</si>
  <si>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</si>
  <si>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</si>
  <si>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</si>
  <si>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</si>
  <si>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</si>
  <si>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</si>
  <si>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</si>
  <si>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</si>
  <si>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</si>
  <si>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</si>
  <si>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</si>
  <si>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</si>
  <si>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</si>
  <si>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</si>
  <si>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</si>
  <si>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</si>
  <si>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</si>
  <si>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</si>
  <si>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</si>
  <si>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</si>
  <si>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</si>
  <si>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</si>
  <si>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</si>
  <si>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</si>
  <si>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</si>
  <si>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</si>
  <si>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</si>
  <si>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</si>
  <si>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</si>
  <si>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</si>
  <si>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</si>
  <si>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</si>
  <si>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</si>
  <si>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</si>
  <si>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</si>
  <si>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</si>
  <si>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</si>
  <si>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</si>
  <si>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</si>
  <si>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</si>
  <si>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</si>
  <si>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</si>
  <si>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</si>
  <si>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</si>
  <si>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</si>
  <si>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</si>
  <si>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</si>
  <si>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</si>
  <si>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</si>
  <si>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</si>
  <si>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</si>
  <si>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</si>
  <si>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</si>
  <si>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</si>
  <si>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</si>
  <si>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</si>
  <si>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</si>
  <si>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</si>
  <si>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</si>
  <si>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</si>
  <si>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</si>
  <si>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</si>
  <si>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</si>
  <si>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</si>
  <si>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</si>
  <si>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</si>
  <si>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</si>
  <si>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</si>
  <si>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</si>
  <si>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</si>
  <si>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</si>
  <si>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</si>
  <si>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</si>
  <si>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</si>
  <si>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</si>
  <si>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</si>
  <si>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</si>
  <si>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</si>
  <si>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</si>
  <si>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</si>
  <si>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</si>
  <si>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</si>
  <si>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</si>
  <si>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</si>
  <si>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</si>
  <si>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</si>
  <si>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</si>
  <si>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</si>
  <si>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</si>
  <si>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</si>
  <si>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</si>
  <si>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</si>
  <si>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</si>
  <si>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</si>
  <si>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</si>
  <si>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</si>
  <si>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</si>
  <si>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</si>
  <si>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</si>
  <si>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</si>
  <si>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</si>
  <si>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</si>
  <si>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</si>
  <si>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</si>
  <si>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</si>
  <si>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</si>
  <si>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</si>
  <si>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</si>
  <si>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</si>
  <si>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</si>
  <si>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</si>
  <si>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</si>
  <si>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</si>
  <si>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</si>
  <si>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</si>
  <si>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</si>
  <si>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</si>
  <si>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</si>
  <si>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</si>
  <si>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</si>
  <si>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</si>
  <si>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</si>
  <si>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</si>
  <si>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</si>
  <si>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</si>
  <si>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</si>
  <si>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</si>
  <si>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</si>
  <si>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</si>
  <si>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</si>
  <si>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</si>
  <si>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</si>
  <si>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</si>
  <si>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</si>
  <si>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</si>
  <si>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</si>
  <si>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</si>
  <si>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</si>
  <si>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</si>
  <si>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</si>
  <si>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</si>
  <si>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</si>
  <si>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</si>
  <si>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</si>
  <si>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</si>
  <si>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</si>
  <si>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</si>
  <si>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</si>
  <si>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</si>
  <si>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</si>
  <si>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86830</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</si>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</sst>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138</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10408239.029999999</v>
      </c>
      <c r="E5" s="219">
        <f>SUM('Pt 2 Premium and Claims'!E$5,'Pt 2 Premium and Claims'!E$6,-'Pt 2 Premium and Claims'!E$7,-'Pt 2 Premium and Claims'!E$13,'Pt 2 Premium and Claims'!E$14:'Pt 2 Premium and Claims'!E$17)</f>
        <v>6986907</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6984016.4899999807</v>
      </c>
      <c r="J5" s="218">
        <f>SUM('Pt 2 Premium and Claims'!J$5,'Pt 2 Premium and Claims'!J$6,-'Pt 2 Premium and Claims'!J$7,-'Pt 2 Premium and Claims'!J$13,'Pt 2 Premium and Claims'!J$14,'Pt 2 Premium and Claims'!J$16:'Pt 2 Premium and Claims'!J$17)</f>
        <v>878271</v>
      </c>
      <c r="K5" s="219">
        <f>SUM('Pt 2 Premium and Claims'!K$5,'Pt 2 Premium and Claims'!K$6,-'Pt 2 Premium and Claims'!K$7,-'Pt 2 Premium and Claims'!K$13,'Pt 2 Premium and Claims'!K$14,'Pt 2 Premium and Claims'!K$16:'Pt 2 Premium and Claims'!K$17)</f>
        <v>878196</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121478527</v>
      </c>
      <c r="Q5" s="219">
        <f>SUM('Pt 2 Premium and Claims'!Q$5,'Pt 2 Premium and Claims'!Q$6,-'Pt 2 Premium and Claims'!Q$7,-'Pt 2 Premium and Claims'!Q$13,'Pt 2 Premium and Claims'!Q$14)</f>
        <v>121530688</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82804180</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173</v>
      </c>
      <c r="E7" s="223">
        <v>173</v>
      </c>
      <c r="F7" s="223"/>
      <c r="G7" s="223"/>
      <c r="H7" s="223"/>
      <c r="I7" s="222">
        <v>173</v>
      </c>
      <c r="J7" s="222">
        <v>25</v>
      </c>
      <c r="K7" s="223">
        <v>25</v>
      </c>
      <c r="L7" s="223"/>
      <c r="M7" s="223"/>
      <c r="N7" s="223"/>
      <c r="O7" s="222"/>
      <c r="P7" s="222">
        <v>3433</v>
      </c>
      <c r="Q7" s="223">
        <v>3433</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2340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387139</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6744886</v>
      </c>
      <c r="E12" s="219">
        <f>'Pt 2 Premium and Claims'!E$54</f>
        <v>6759424</v>
      </c>
      <c r="F12" s="219">
        <f>'Pt 2 Premium and Claims'!F$54</f>
        <v>0</v>
      </c>
      <c r="G12" s="219">
        <f>'Pt 2 Premium and Claims'!G$54</f>
        <v>0</v>
      </c>
      <c r="H12" s="219">
        <f>'Pt 2 Premium and Claims'!H$54</f>
        <v>0</v>
      </c>
      <c r="I12" s="218">
        <f>'Pt 2 Premium and Claims'!I$54</f>
        <v>6801253.8899999987</v>
      </c>
      <c r="J12" s="218">
        <f>'Pt 2 Premium and Claims'!J$54</f>
        <v>724826</v>
      </c>
      <c r="K12" s="219">
        <f>'Pt 2 Premium and Claims'!K$54</f>
        <v>601956</v>
      </c>
      <c r="L12" s="219">
        <f>'Pt 2 Premium and Claims'!L$54</f>
        <v>0</v>
      </c>
      <c r="M12" s="219">
        <f>'Pt 2 Premium and Claims'!M$54</f>
        <v>0</v>
      </c>
      <c r="N12" s="219">
        <f>'Pt 2 Premium and Claims'!N$54</f>
        <v>0</v>
      </c>
      <c r="O12" s="218">
        <f>'Pt 2 Premium and Claims'!O$54</f>
        <v>0</v>
      </c>
      <c r="P12" s="218">
        <f>'Pt 2 Premium and Claims'!P$54</f>
        <v>95818998</v>
      </c>
      <c r="Q12" s="219">
        <f>'Pt 2 Premium and Claims'!Q$54</f>
        <v>97647962</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54357533</v>
      </c>
      <c r="AU12" s="220">
        <f>'Pt 2 Premium and Claims'!AU$54</f>
        <v>0</v>
      </c>
      <c r="AV12" s="297"/>
      <c r="AW12" s="302"/>
    </row>
    <row r="13" spans="1:49" ht="25.5" x14ac:dyDescent="0.2">
      <c r="B13" s="245" t="s">
        <v>230</v>
      </c>
      <c r="C13" s="209" t="s">
        <v>37</v>
      </c>
      <c r="D13" s="222">
        <v>1259528</v>
      </c>
      <c r="E13" s="223">
        <v>1259483</v>
      </c>
      <c r="F13" s="223"/>
      <c r="G13" s="274"/>
      <c r="H13" s="275"/>
      <c r="I13" s="222">
        <v>1259115.67</v>
      </c>
      <c r="J13" s="222">
        <v>89357</v>
      </c>
      <c r="K13" s="223">
        <v>89015</v>
      </c>
      <c r="L13" s="223"/>
      <c r="M13" s="274"/>
      <c r="N13" s="275"/>
      <c r="O13" s="222"/>
      <c r="P13" s="222">
        <v>15802354</v>
      </c>
      <c r="Q13" s="223">
        <v>15774922</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2675</v>
      </c>
      <c r="AU13" s="226">
        <v>0</v>
      </c>
      <c r="AV13" s="296"/>
      <c r="AW13" s="303"/>
    </row>
    <row r="14" spans="1:49" ht="25.5" x14ac:dyDescent="0.2">
      <c r="B14" s="245" t="s">
        <v>231</v>
      </c>
      <c r="C14" s="209" t="s">
        <v>6</v>
      </c>
      <c r="D14" s="222">
        <v>128599</v>
      </c>
      <c r="E14" s="223">
        <v>189293</v>
      </c>
      <c r="F14" s="223"/>
      <c r="G14" s="273"/>
      <c r="H14" s="276"/>
      <c r="I14" s="222">
        <v>150518.69</v>
      </c>
      <c r="J14" s="222">
        <v>24006</v>
      </c>
      <c r="K14" s="223">
        <v>30395</v>
      </c>
      <c r="L14" s="223"/>
      <c r="M14" s="273"/>
      <c r="N14" s="276"/>
      <c r="O14" s="222"/>
      <c r="P14" s="222">
        <v>2906786</v>
      </c>
      <c r="Q14" s="223">
        <v>3704793</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283207</v>
      </c>
      <c r="AU14" s="226">
        <v>0</v>
      </c>
      <c r="AV14" s="296"/>
      <c r="AW14" s="303"/>
    </row>
    <row r="15" spans="1:49" ht="38.25" x14ac:dyDescent="0.2">
      <c r="B15" s="245" t="s">
        <v>232</v>
      </c>
      <c r="C15" s="209" t="s">
        <v>7</v>
      </c>
      <c r="D15" s="222">
        <v>0</v>
      </c>
      <c r="E15" s="223">
        <v>0</v>
      </c>
      <c r="F15" s="223"/>
      <c r="G15" s="273"/>
      <c r="H15" s="279"/>
      <c r="I15" s="222">
        <v>0</v>
      </c>
      <c r="J15" s="222">
        <v>363</v>
      </c>
      <c r="K15" s="223">
        <v>412</v>
      </c>
      <c r="L15" s="223"/>
      <c r="M15" s="273"/>
      <c r="N15" s="279"/>
      <c r="O15" s="222"/>
      <c r="P15" s="222">
        <v>160744</v>
      </c>
      <c r="Q15" s="223">
        <v>205434</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61</v>
      </c>
      <c r="AU15" s="226">
        <v>0</v>
      </c>
      <c r="AV15" s="296"/>
      <c r="AW15" s="303"/>
    </row>
    <row r="16" spans="1:49" ht="25.5" x14ac:dyDescent="0.2">
      <c r="B16" s="245" t="s">
        <v>233</v>
      </c>
      <c r="C16" s="209" t="s">
        <v>61</v>
      </c>
      <c r="D16" s="222">
        <v>-2003710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287069</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-561</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-9166</v>
      </c>
      <c r="E25" s="223">
        <v>-9166</v>
      </c>
      <c r="F25" s="223"/>
      <c r="G25" s="223"/>
      <c r="H25" s="223"/>
      <c r="I25" s="222">
        <v>126227.78</v>
      </c>
      <c r="J25" s="222">
        <v>23089</v>
      </c>
      <c r="K25" s="223">
        <v>23089</v>
      </c>
      <c r="L25" s="223"/>
      <c r="M25" s="223"/>
      <c r="N25" s="223"/>
      <c r="O25" s="222"/>
      <c r="P25" s="222">
        <v>4288804</v>
      </c>
      <c r="Q25" s="223">
        <v>4288804</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7106049</v>
      </c>
      <c r="AU25" s="226">
        <v>0</v>
      </c>
      <c r="AV25" s="226">
        <v>1746387</v>
      </c>
      <c r="AW25" s="303"/>
    </row>
    <row r="26" spans="1:49" s="11" customFormat="1" x14ac:dyDescent="0.2">
      <c r="A26" s="41"/>
      <c r="B26" s="248" t="s">
        <v>242</v>
      </c>
      <c r="C26" s="209"/>
      <c r="D26" s="222">
        <v>2160</v>
      </c>
      <c r="E26" s="223">
        <v>2160</v>
      </c>
      <c r="F26" s="223"/>
      <c r="G26" s="223"/>
      <c r="H26" s="223"/>
      <c r="I26" s="222">
        <v>2160</v>
      </c>
      <c r="J26" s="222">
        <v>352</v>
      </c>
      <c r="K26" s="223">
        <v>352</v>
      </c>
      <c r="L26" s="223"/>
      <c r="M26" s="223"/>
      <c r="N26" s="223"/>
      <c r="O26" s="222"/>
      <c r="P26" s="222">
        <v>64126</v>
      </c>
      <c r="Q26" s="223">
        <v>64126</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100348</v>
      </c>
      <c r="E27" s="223">
        <v>100348</v>
      </c>
      <c r="F27" s="223"/>
      <c r="G27" s="223"/>
      <c r="H27" s="223"/>
      <c r="I27" s="222">
        <v>100348</v>
      </c>
      <c r="J27" s="222">
        <v>16374</v>
      </c>
      <c r="K27" s="223">
        <v>16374</v>
      </c>
      <c r="L27" s="223"/>
      <c r="M27" s="223"/>
      <c r="N27" s="223"/>
      <c r="O27" s="222"/>
      <c r="P27" s="222">
        <v>2690441</v>
      </c>
      <c r="Q27" s="223">
        <v>2690441</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317982</v>
      </c>
      <c r="AU27" s="226">
        <v>0</v>
      </c>
      <c r="AV27" s="299"/>
      <c r="AW27" s="303"/>
    </row>
    <row r="28" spans="1:49" s="11" customFormat="1" x14ac:dyDescent="0.2">
      <c r="A28" s="41"/>
      <c r="B28" s="248" t="s">
        <v>244</v>
      </c>
      <c r="C28" s="209"/>
      <c r="D28" s="222">
        <v>14023</v>
      </c>
      <c r="E28" s="223">
        <v>14023</v>
      </c>
      <c r="F28" s="223"/>
      <c r="G28" s="223"/>
      <c r="H28" s="223"/>
      <c r="I28" s="222">
        <v>14023</v>
      </c>
      <c r="J28" s="222">
        <v>2288</v>
      </c>
      <c r="K28" s="223">
        <v>2288</v>
      </c>
      <c r="L28" s="223"/>
      <c r="M28" s="223"/>
      <c r="N28" s="223"/>
      <c r="O28" s="222"/>
      <c r="P28" s="222">
        <v>375961</v>
      </c>
      <c r="Q28" s="223">
        <v>375961</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106349</v>
      </c>
      <c r="AU28" s="226">
        <v>0</v>
      </c>
      <c r="AV28" s="226">
        <v>1745317</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19064</v>
      </c>
      <c r="E30" s="223">
        <v>19064</v>
      </c>
      <c r="F30" s="223"/>
      <c r="G30" s="223"/>
      <c r="H30" s="223"/>
      <c r="I30" s="222">
        <v>19064</v>
      </c>
      <c r="J30" s="222">
        <v>2735</v>
      </c>
      <c r="K30" s="223">
        <v>2735</v>
      </c>
      <c r="L30" s="223"/>
      <c r="M30" s="223"/>
      <c r="N30" s="223"/>
      <c r="O30" s="222"/>
      <c r="P30" s="222">
        <v>379558</v>
      </c>
      <c r="Q30" s="223">
        <v>379558</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256252</v>
      </c>
      <c r="AU30" s="226">
        <v>0</v>
      </c>
      <c r="AV30" s="226">
        <v>45634</v>
      </c>
      <c r="AW30" s="303"/>
    </row>
    <row r="31" spans="1:49" x14ac:dyDescent="0.2">
      <c r="B31" s="248" t="s">
        <v>247</v>
      </c>
      <c r="C31" s="209"/>
      <c r="D31" s="222">
        <v>105494</v>
      </c>
      <c r="E31" s="223">
        <v>105494</v>
      </c>
      <c r="F31" s="223"/>
      <c r="G31" s="223"/>
      <c r="H31" s="223"/>
      <c r="I31" s="222">
        <v>105494</v>
      </c>
      <c r="J31" s="222">
        <v>15101</v>
      </c>
      <c r="K31" s="223">
        <v>15101</v>
      </c>
      <c r="L31" s="223"/>
      <c r="M31" s="223"/>
      <c r="N31" s="223"/>
      <c r="O31" s="222"/>
      <c r="P31" s="222">
        <v>2088699</v>
      </c>
      <c r="Q31" s="223">
        <v>2088699</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1423718</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44507</v>
      </c>
      <c r="E34" s="223">
        <v>44507</v>
      </c>
      <c r="F34" s="223"/>
      <c r="G34" s="223"/>
      <c r="H34" s="223"/>
      <c r="I34" s="222">
        <v>44507</v>
      </c>
      <c r="J34" s="222">
        <v>7970</v>
      </c>
      <c r="K34" s="223">
        <v>7970</v>
      </c>
      <c r="L34" s="223"/>
      <c r="M34" s="223"/>
      <c r="N34" s="223"/>
      <c r="O34" s="222"/>
      <c r="P34" s="222">
        <v>1273536</v>
      </c>
      <c r="Q34" s="223">
        <v>1273536</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64837</v>
      </c>
      <c r="E35" s="223">
        <v>64837</v>
      </c>
      <c r="F35" s="223"/>
      <c r="G35" s="223"/>
      <c r="H35" s="223"/>
      <c r="I35" s="222">
        <v>64837</v>
      </c>
      <c r="J35" s="222">
        <v>27</v>
      </c>
      <c r="K35" s="223">
        <v>27</v>
      </c>
      <c r="L35" s="223"/>
      <c r="M35" s="223"/>
      <c r="N35" s="223"/>
      <c r="O35" s="222"/>
      <c r="P35" s="222">
        <v>4463</v>
      </c>
      <c r="Q35" s="223">
        <v>4463</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11414</v>
      </c>
      <c r="AU35" s="226">
        <v>0</v>
      </c>
      <c r="AV35" s="226">
        <v>21272</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5823</v>
      </c>
      <c r="E37" s="231">
        <v>5827</v>
      </c>
      <c r="F37" s="231"/>
      <c r="G37" s="231"/>
      <c r="H37" s="231"/>
      <c r="I37" s="230">
        <v>5827</v>
      </c>
      <c r="J37" s="230">
        <v>970</v>
      </c>
      <c r="K37" s="231">
        <v>975</v>
      </c>
      <c r="L37" s="231"/>
      <c r="M37" s="231"/>
      <c r="N37" s="231"/>
      <c r="O37" s="230"/>
      <c r="P37" s="230">
        <v>136881</v>
      </c>
      <c r="Q37" s="231">
        <v>138569</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701</v>
      </c>
      <c r="AU37" s="232">
        <v>0</v>
      </c>
      <c r="AV37" s="232">
        <v>1831611</v>
      </c>
      <c r="AW37" s="302"/>
    </row>
    <row r="38" spans="1:49" x14ac:dyDescent="0.2">
      <c r="B38" s="245" t="s">
        <v>254</v>
      </c>
      <c r="C38" s="209" t="s">
        <v>16</v>
      </c>
      <c r="D38" s="222">
        <v>2221</v>
      </c>
      <c r="E38" s="223">
        <v>2196</v>
      </c>
      <c r="F38" s="223"/>
      <c r="G38" s="223"/>
      <c r="H38" s="223"/>
      <c r="I38" s="222">
        <v>2196</v>
      </c>
      <c r="J38" s="222">
        <v>418</v>
      </c>
      <c r="K38" s="223">
        <v>422</v>
      </c>
      <c r="L38" s="223"/>
      <c r="M38" s="223"/>
      <c r="N38" s="223"/>
      <c r="O38" s="222"/>
      <c r="P38" s="222">
        <v>42683</v>
      </c>
      <c r="Q38" s="223">
        <v>43633</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28</v>
      </c>
      <c r="AU38" s="226">
        <v>0</v>
      </c>
      <c r="AV38" s="226">
        <v>261956</v>
      </c>
      <c r="AW38" s="303"/>
    </row>
    <row r="39" spans="1:49" x14ac:dyDescent="0.2">
      <c r="B39" s="248" t="s">
        <v>255</v>
      </c>
      <c r="C39" s="209" t="s">
        <v>17</v>
      </c>
      <c r="D39" s="222">
        <v>16300</v>
      </c>
      <c r="E39" s="223">
        <v>15361</v>
      </c>
      <c r="F39" s="223"/>
      <c r="G39" s="223"/>
      <c r="H39" s="223"/>
      <c r="I39" s="222">
        <v>15361</v>
      </c>
      <c r="J39" s="222">
        <v>1833</v>
      </c>
      <c r="K39" s="223">
        <v>1922</v>
      </c>
      <c r="L39" s="223"/>
      <c r="M39" s="223"/>
      <c r="N39" s="223"/>
      <c r="O39" s="222"/>
      <c r="P39" s="222">
        <v>255030</v>
      </c>
      <c r="Q39" s="223">
        <v>255951</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470</v>
      </c>
      <c r="AU39" s="226">
        <v>0</v>
      </c>
      <c r="AV39" s="226">
        <v>44557</v>
      </c>
      <c r="AW39" s="303"/>
    </row>
    <row r="40" spans="1:49" x14ac:dyDescent="0.2">
      <c r="B40" s="248" t="s">
        <v>256</v>
      </c>
      <c r="C40" s="209" t="s">
        <v>38</v>
      </c>
      <c r="D40" s="222">
        <v>1307</v>
      </c>
      <c r="E40" s="223">
        <v>1307</v>
      </c>
      <c r="F40" s="223"/>
      <c r="G40" s="223"/>
      <c r="H40" s="223"/>
      <c r="I40" s="222">
        <v>1307</v>
      </c>
      <c r="J40" s="222">
        <v>288</v>
      </c>
      <c r="K40" s="223">
        <v>288</v>
      </c>
      <c r="L40" s="223"/>
      <c r="M40" s="223"/>
      <c r="N40" s="223"/>
      <c r="O40" s="222"/>
      <c r="P40" s="222">
        <v>21009</v>
      </c>
      <c r="Q40" s="223">
        <v>22018</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1807</v>
      </c>
      <c r="AU40" s="226">
        <v>0</v>
      </c>
      <c r="AV40" s="226">
        <v>286943</v>
      </c>
      <c r="AW40" s="303"/>
    </row>
    <row r="41" spans="1:49" s="11" customFormat="1" ht="25.5" x14ac:dyDescent="0.2">
      <c r="A41" s="41"/>
      <c r="B41" s="248" t="s">
        <v>257</v>
      </c>
      <c r="C41" s="209" t="s">
        <v>129</v>
      </c>
      <c r="D41" s="222">
        <v>3254</v>
      </c>
      <c r="E41" s="223">
        <v>3257</v>
      </c>
      <c r="F41" s="223"/>
      <c r="G41" s="223"/>
      <c r="H41" s="223"/>
      <c r="I41" s="222">
        <v>3257</v>
      </c>
      <c r="J41" s="222">
        <v>601</v>
      </c>
      <c r="K41" s="223">
        <v>601</v>
      </c>
      <c r="L41" s="223"/>
      <c r="M41" s="223"/>
      <c r="N41" s="223"/>
      <c r="O41" s="222"/>
      <c r="P41" s="222">
        <v>72238</v>
      </c>
      <c r="Q41" s="223">
        <v>73305</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9995</v>
      </c>
      <c r="AU41" s="226">
        <v>0</v>
      </c>
      <c r="AV41" s="226">
        <v>813644</v>
      </c>
      <c r="AW41" s="303"/>
    </row>
    <row r="42" spans="1:49" s="11" customFormat="1" ht="24.95" customHeight="1" x14ac:dyDescent="0.2">
      <c r="A42" s="41"/>
      <c r="B42" s="245" t="s">
        <v>258</v>
      </c>
      <c r="C42" s="209" t="s">
        <v>87</v>
      </c>
      <c r="D42" s="222">
        <v>215</v>
      </c>
      <c r="E42" s="223">
        <v>215</v>
      </c>
      <c r="F42" s="223"/>
      <c r="G42" s="223"/>
      <c r="H42" s="223"/>
      <c r="I42" s="222">
        <v>215</v>
      </c>
      <c r="J42" s="222">
        <v>35</v>
      </c>
      <c r="K42" s="223">
        <v>35</v>
      </c>
      <c r="L42" s="223"/>
      <c r="M42" s="223"/>
      <c r="N42" s="223"/>
      <c r="O42" s="222"/>
      <c r="P42" s="222">
        <v>5759</v>
      </c>
      <c r="Q42" s="223">
        <v>5759</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4</v>
      </c>
      <c r="AU42" s="226">
        <v>0</v>
      </c>
      <c r="AV42" s="226">
        <v>33199</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278214</v>
      </c>
      <c r="E44" s="231">
        <v>273865</v>
      </c>
      <c r="F44" s="231"/>
      <c r="G44" s="231"/>
      <c r="H44" s="231"/>
      <c r="I44" s="230">
        <v>273865</v>
      </c>
      <c r="J44" s="230">
        <v>13977</v>
      </c>
      <c r="K44" s="231">
        <v>15384</v>
      </c>
      <c r="L44" s="231"/>
      <c r="M44" s="231"/>
      <c r="N44" s="231"/>
      <c r="O44" s="230"/>
      <c r="P44" s="230">
        <v>2751937</v>
      </c>
      <c r="Q44" s="231">
        <v>2750327</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71564</v>
      </c>
      <c r="AU44" s="232">
        <v>0</v>
      </c>
      <c r="AV44" s="232">
        <v>9107193</v>
      </c>
      <c r="AW44" s="302"/>
    </row>
    <row r="45" spans="1:49" x14ac:dyDescent="0.2">
      <c r="B45" s="251" t="s">
        <v>261</v>
      </c>
      <c r="C45" s="209" t="s">
        <v>19</v>
      </c>
      <c r="D45" s="222">
        <v>8945</v>
      </c>
      <c r="E45" s="223">
        <v>8945</v>
      </c>
      <c r="F45" s="223"/>
      <c r="G45" s="223"/>
      <c r="H45" s="223"/>
      <c r="I45" s="222">
        <v>8945</v>
      </c>
      <c r="J45" s="222">
        <v>167</v>
      </c>
      <c r="K45" s="223">
        <v>167</v>
      </c>
      <c r="L45" s="223"/>
      <c r="M45" s="223"/>
      <c r="N45" s="223"/>
      <c r="O45" s="222"/>
      <c r="P45" s="222">
        <v>27373</v>
      </c>
      <c r="Q45" s="223">
        <v>27373</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4001</v>
      </c>
      <c r="AU45" s="226">
        <v>0</v>
      </c>
      <c r="AV45" s="226">
        <v>-7909</v>
      </c>
      <c r="AW45" s="303"/>
    </row>
    <row r="46" spans="1:49" x14ac:dyDescent="0.2">
      <c r="B46" s="251" t="s">
        <v>262</v>
      </c>
      <c r="C46" s="209" t="s">
        <v>20</v>
      </c>
      <c r="D46" s="222">
        <v>260204</v>
      </c>
      <c r="E46" s="223">
        <v>260204</v>
      </c>
      <c r="F46" s="223"/>
      <c r="G46" s="223"/>
      <c r="H46" s="223"/>
      <c r="I46" s="222">
        <v>260204</v>
      </c>
      <c r="J46" s="222">
        <v>4852</v>
      </c>
      <c r="K46" s="223">
        <v>4852</v>
      </c>
      <c r="L46" s="223"/>
      <c r="M46" s="223"/>
      <c r="N46" s="223"/>
      <c r="O46" s="222"/>
      <c r="P46" s="222">
        <v>796245</v>
      </c>
      <c r="Q46" s="223">
        <v>796245</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311301</v>
      </c>
      <c r="AU46" s="226">
        <v>0</v>
      </c>
      <c r="AV46" s="226">
        <v>2917340</v>
      </c>
      <c r="AW46" s="303"/>
    </row>
    <row r="47" spans="1:49" x14ac:dyDescent="0.2">
      <c r="B47" s="251" t="s">
        <v>263</v>
      </c>
      <c r="C47" s="209" t="s">
        <v>21</v>
      </c>
      <c r="D47" s="222">
        <v>30858</v>
      </c>
      <c r="E47" s="223">
        <v>30858</v>
      </c>
      <c r="F47" s="223"/>
      <c r="G47" s="223"/>
      <c r="H47" s="223"/>
      <c r="I47" s="222">
        <v>30858.04</v>
      </c>
      <c r="J47" s="222">
        <v>19552</v>
      </c>
      <c r="K47" s="223">
        <v>19552</v>
      </c>
      <c r="L47" s="223"/>
      <c r="M47" s="223"/>
      <c r="N47" s="223"/>
      <c r="O47" s="222"/>
      <c r="P47" s="222">
        <v>2704354</v>
      </c>
      <c r="Q47" s="223">
        <v>2704354</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1879016</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9</v>
      </c>
      <c r="E49" s="223">
        <v>9</v>
      </c>
      <c r="F49" s="223"/>
      <c r="G49" s="223"/>
      <c r="H49" s="223"/>
      <c r="I49" s="222">
        <v>9</v>
      </c>
      <c r="J49" s="222">
        <v>2</v>
      </c>
      <c r="K49" s="223">
        <v>2</v>
      </c>
      <c r="L49" s="223"/>
      <c r="M49" s="223"/>
      <c r="N49" s="223"/>
      <c r="O49" s="222"/>
      <c r="P49" s="222">
        <v>249</v>
      </c>
      <c r="Q49" s="223">
        <v>249</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-2</v>
      </c>
      <c r="AU49" s="226">
        <v>0</v>
      </c>
      <c r="AV49" s="226">
        <v>687</v>
      </c>
      <c r="AW49" s="303"/>
    </row>
    <row r="50" spans="2:49" ht="25.5" x14ac:dyDescent="0.2">
      <c r="B50" s="245" t="s">
        <v>265</v>
      </c>
      <c r="C50" s="209"/>
      <c r="D50" s="222">
        <v>28</v>
      </c>
      <c r="E50" s="223">
        <v>28</v>
      </c>
      <c r="F50" s="223"/>
      <c r="G50" s="223"/>
      <c r="H50" s="223"/>
      <c r="I50" s="222">
        <v>28</v>
      </c>
      <c r="J50" s="222">
        <v>5</v>
      </c>
      <c r="K50" s="223">
        <v>5</v>
      </c>
      <c r="L50" s="223"/>
      <c r="M50" s="223"/>
      <c r="N50" s="223"/>
      <c r="O50" s="222"/>
      <c r="P50" s="222">
        <v>760</v>
      </c>
      <c r="Q50" s="223">
        <v>760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185</v>
      </c>
      <c r="AU50" s="226">
        <v>0</v>
      </c>
      <c r="AV50" s="226">
        <v>1749</v>
      </c>
      <c r="AW50" s="303"/>
    </row>
    <row r="51" spans="2:49" x14ac:dyDescent="0.2">
      <c r="B51" s="245" t="s">
        <v>266</v>
      </c>
      <c r="C51" s="209"/>
      <c r="D51" s="222">
        <v>610219</v>
      </c>
      <c r="E51" s="223">
        <v>610219</v>
      </c>
      <c r="F51" s="223"/>
      <c r="G51" s="223"/>
      <c r="H51" s="223"/>
      <c r="I51" s="222">
        <v>610219</v>
      </c>
      <c r="J51" s="222">
        <v>11379</v>
      </c>
      <c r="K51" s="223">
        <v>11379</v>
      </c>
      <c r="L51" s="223"/>
      <c r="M51" s="223"/>
      <c r="N51" s="223"/>
      <c r="O51" s="222"/>
      <c r="P51" s="222">
        <v>1867322</v>
      </c>
      <c r="Q51" s="223">
        <v>1867322</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2929289</v>
      </c>
      <c r="AU51" s="226">
        <v>0</v>
      </c>
      <c r="AV51" s="226">
        <v>47116772</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338</v>
      </c>
      <c r="E53" s="223">
        <v>338</v>
      </c>
      <c r="F53" s="223"/>
      <c r="G53" s="274"/>
      <c r="H53" s="274"/>
      <c r="I53" s="222">
        <v>338</v>
      </c>
      <c r="J53" s="222">
        <v>55</v>
      </c>
      <c r="K53" s="223">
        <v>55</v>
      </c>
      <c r="L53" s="223"/>
      <c r="M53" s="274"/>
      <c r="N53" s="274"/>
      <c r="O53" s="222">
        <v>0</v>
      </c>
      <c r="P53" s="222">
        <v>9049</v>
      </c>
      <c r="Q53" s="223">
        <v>9049</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8245</v>
      </c>
      <c r="AU53" s="226">
        <v>0</v>
      </c>
      <c r="AV53" s="226">
        <v>97804</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69584599</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642</v>
      </c>
      <c r="E56" s="235">
        <v>642</v>
      </c>
      <c r="F56" s="235"/>
      <c r="G56" s="235"/>
      <c r="H56" s="235"/>
      <c r="I56" s="234">
        <v>642</v>
      </c>
      <c r="J56" s="234">
        <v>88</v>
      </c>
      <c r="K56" s="235">
        <v>88</v>
      </c>
      <c r="L56" s="235"/>
      <c r="M56" s="235"/>
      <c r="N56" s="235"/>
      <c r="O56" s="234"/>
      <c r="P56" s="234">
        <v>14855</v>
      </c>
      <c r="Q56" s="235">
        <v>14855</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35403</v>
      </c>
      <c r="AU56" s="236">
        <v>0</v>
      </c>
      <c r="AV56" s="236">
        <v>246735</v>
      </c>
      <c r="AW56" s="294"/>
    </row>
    <row r="57" spans="2:49" x14ac:dyDescent="0.2">
      <c r="B57" s="251" t="s">
        <v>272</v>
      </c>
      <c r="C57" s="209" t="s">
        <v>25</v>
      </c>
      <c r="D57" s="237">
        <v>960</v>
      </c>
      <c r="E57" s="238">
        <v>960</v>
      </c>
      <c r="F57" s="238"/>
      <c r="G57" s="238"/>
      <c r="H57" s="238"/>
      <c r="I57" s="237">
        <v>960</v>
      </c>
      <c r="J57" s="237">
        <v>105</v>
      </c>
      <c r="K57" s="238">
        <v>105</v>
      </c>
      <c r="L57" s="238"/>
      <c r="M57" s="238"/>
      <c r="N57" s="238"/>
      <c r="O57" s="237"/>
      <c r="P57" s="237">
        <v>27869</v>
      </c>
      <c r="Q57" s="238">
        <v>27869</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70047</v>
      </c>
      <c r="AU57" s="239">
        <v>0</v>
      </c>
      <c r="AV57" s="239">
        <v>536010</v>
      </c>
      <c r="AW57" s="295"/>
    </row>
    <row r="58" spans="2:49" x14ac:dyDescent="0.2">
      <c r="B58" s="251" t="s">
        <v>273</v>
      </c>
      <c r="C58" s="209" t="s">
        <v>26</v>
      </c>
      <c r="D58" s="315"/>
      <c r="E58" s="316"/>
      <c r="F58" s="316"/>
      <c r="G58" s="316"/>
      <c r="H58" s="316"/>
      <c r="I58" s="315"/>
      <c r="J58" s="237">
        <v>4</v>
      </c>
      <c r="K58" s="238">
        <v>4</v>
      </c>
      <c r="L58" s="238"/>
      <c r="M58" s="238"/>
      <c r="N58" s="238"/>
      <c r="O58" s="237"/>
      <c r="P58" s="237">
        <v>92</v>
      </c>
      <c r="Q58" s="238">
        <v>92</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123</v>
      </c>
      <c r="AU58" s="239">
        <v>0</v>
      </c>
      <c r="AV58" s="239">
        <v>359</v>
      </c>
      <c r="AW58" s="295"/>
    </row>
    <row r="59" spans="2:49" x14ac:dyDescent="0.2">
      <c r="B59" s="251" t="s">
        <v>274</v>
      </c>
      <c r="C59" s="209" t="s">
        <v>27</v>
      </c>
      <c r="D59" s="237">
        <v>11908</v>
      </c>
      <c r="E59" s="238">
        <v>11908</v>
      </c>
      <c r="F59" s="238"/>
      <c r="G59" s="238"/>
      <c r="H59" s="238"/>
      <c r="I59" s="237">
        <v>11908</v>
      </c>
      <c r="J59" s="237">
        <v>1943</v>
      </c>
      <c r="K59" s="238">
        <v>1943</v>
      </c>
      <c r="L59" s="238"/>
      <c r="M59" s="238"/>
      <c r="N59" s="238"/>
      <c r="O59" s="237"/>
      <c r="P59" s="237">
        <v>319267</v>
      </c>
      <c r="Q59" s="238">
        <v>319267</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799654</v>
      </c>
      <c r="AU59" s="239">
        <v>0</v>
      </c>
      <c r="AV59" s="239">
        <v>6268603</v>
      </c>
      <c r="AW59" s="295"/>
    </row>
    <row r="60" spans="2:49" x14ac:dyDescent="0.2">
      <c r="B60" s="251" t="s">
        <v>275</v>
      </c>
      <c r="C60" s="209"/>
      <c r="D60" s="240">
        <f>D$59/12</f>
        <v>992.33333333333337</v>
      </c>
      <c r="E60" s="241">
        <f>E$59/12</f>
        <v>992.33333333333337</v>
      </c>
      <c r="F60" s="241">
        <f>F$59/12</f>
        <v>0</v>
      </c>
      <c r="G60" s="241">
        <f>G$59/12</f>
        <v>0</v>
      </c>
      <c r="H60" s="241">
        <f>H$59/12</f>
        <v>0</v>
      </c>
      <c r="I60" s="240">
        <f>I$59/12</f>
        <v>992.33333333333337</v>
      </c>
      <c r="J60" s="240">
        <f>J$59/12</f>
        <v>161.91666666666666</v>
      </c>
      <c r="K60" s="241">
        <f>K$59/12</f>
        <v>161.91666666666666</v>
      </c>
      <c r="L60" s="241">
        <f>L$59/12</f>
        <v>0</v>
      </c>
      <c r="M60" s="241">
        <f>M$59/12</f>
        <v>0</v>
      </c>
      <c r="N60" s="241">
        <f>N$59/12</f>
        <v>0</v>
      </c>
      <c r="O60" s="240">
        <f>O$59/12</f>
        <v>0</v>
      </c>
      <c r="P60" s="240">
        <f>P$59/12</f>
        <v>26605.583333333332</v>
      </c>
      <c r="Q60" s="241">
        <f>Q$59/12</f>
        <v>26605.583333333332</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66637.833333333328</v>
      </c>
      <c r="AU60" s="242">
        <f>AU$59/12</f>
        <v>0</v>
      </c>
      <c r="AV60" s="242">
        <f>AV$59/12</f>
        <v>522383.58333333331</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3539061</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1166256</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6488634</v>
      </c>
      <c r="E5" s="332">
        <v>4425413</v>
      </c>
      <c r="F5" s="332"/>
      <c r="G5" s="334"/>
      <c r="H5" s="334"/>
      <c r="I5" s="331">
        <v>4422522.4099999806</v>
      </c>
      <c r="J5" s="331">
        <v>875963</v>
      </c>
      <c r="K5" s="332">
        <v>869968</v>
      </c>
      <c r="L5" s="332"/>
      <c r="M5" s="332"/>
      <c r="N5" s="332"/>
      <c r="O5" s="331"/>
      <c r="P5" s="331">
        <v>121350081</v>
      </c>
      <c r="Q5" s="332">
        <v>120952806</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83036117</v>
      </c>
      <c r="AU5" s="333">
        <v>0</v>
      </c>
      <c r="AV5" s="375"/>
      <c r="AW5" s="379"/>
    </row>
    <row r="6" spans="2:49" x14ac:dyDescent="0.2">
      <c r="B6" s="349" t="s">
        <v>278</v>
      </c>
      <c r="C6" s="337" t="s">
        <v>8</v>
      </c>
      <c r="D6" s="324">
        <v>195068</v>
      </c>
      <c r="E6" s="325">
        <v>195068</v>
      </c>
      <c r="F6" s="325"/>
      <c r="G6" s="326"/>
      <c r="H6" s="326"/>
      <c r="I6" s="324">
        <v>195068</v>
      </c>
      <c r="J6" s="324">
        <v>8264</v>
      </c>
      <c r="K6" s="325">
        <v>8264</v>
      </c>
      <c r="L6" s="325"/>
      <c r="M6" s="325"/>
      <c r="N6" s="325"/>
      <c r="O6" s="324"/>
      <c r="P6" s="324">
        <v>598013</v>
      </c>
      <c r="Q6" s="325">
        <v>598013</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349397</v>
      </c>
      <c r="AU6" s="327">
        <v>0</v>
      </c>
      <c r="AV6" s="374"/>
      <c r="AW6" s="380"/>
    </row>
    <row r="7" spans="2:49" x14ac:dyDescent="0.2">
      <c r="B7" s="349" t="s">
        <v>279</v>
      </c>
      <c r="C7" s="337" t="s">
        <v>9</v>
      </c>
      <c r="D7" s="324">
        <v>28615</v>
      </c>
      <c r="E7" s="325"/>
      <c r="F7" s="325"/>
      <c r="G7" s="326"/>
      <c r="H7" s="326"/>
      <c r="I7" s="324"/>
      <c r="J7" s="324">
        <v>5956</v>
      </c>
      <c r="K7" s="325"/>
      <c r="L7" s="325"/>
      <c r="M7" s="325"/>
      <c r="N7" s="325"/>
      <c r="O7" s="324"/>
      <c r="P7" s="324">
        <v>500290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581007</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-18777</v>
      </c>
      <c r="E9" s="368"/>
      <c r="F9" s="368"/>
      <c r="G9" s="368"/>
      <c r="H9" s="368"/>
      <c r="I9" s="370"/>
      <c r="J9" s="324">
        <v>0</v>
      </c>
      <c r="K9" s="368"/>
      <c r="L9" s="368"/>
      <c r="M9" s="368"/>
      <c r="N9" s="368"/>
      <c r="O9" s="370"/>
      <c r="P9" s="324">
        <v>969864</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969864</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-29715</v>
      </c>
      <c r="E11" s="325">
        <v>0</v>
      </c>
      <c r="F11" s="325"/>
      <c r="G11" s="325"/>
      <c r="H11" s="325"/>
      <c r="I11" s="324">
        <v>0</v>
      </c>
      <c r="J11" s="324">
        <v>0</v>
      </c>
      <c r="K11" s="325">
        <v>0</v>
      </c>
      <c r="L11" s="325"/>
      <c r="M11" s="325"/>
      <c r="N11" s="325"/>
      <c r="O11" s="324"/>
      <c r="P11" s="324">
        <v>1622599</v>
      </c>
      <c r="Q11" s="325">
        <v>-1155970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-435331</v>
      </c>
      <c r="E12" s="369"/>
      <c r="F12" s="369"/>
      <c r="G12" s="369"/>
      <c r="H12" s="369"/>
      <c r="I12" s="371"/>
      <c r="J12" s="324">
        <v>0</v>
      </c>
      <c r="K12" s="369"/>
      <c r="L12" s="369"/>
      <c r="M12" s="369"/>
      <c r="N12" s="369"/>
      <c r="O12" s="371"/>
      <c r="P12" s="324">
        <v>2750639</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132659</v>
      </c>
      <c r="E13" s="325">
        <v>93481</v>
      </c>
      <c r="F13" s="325"/>
      <c r="G13" s="325"/>
      <c r="H13" s="325"/>
      <c r="I13" s="324">
        <v>93480.92</v>
      </c>
      <c r="J13" s="324">
        <v>0</v>
      </c>
      <c r="K13" s="325">
        <v>0</v>
      </c>
      <c r="L13" s="325"/>
      <c r="M13" s="325"/>
      <c r="N13" s="325"/>
      <c r="O13" s="324"/>
      <c r="P13" s="324">
        <v>-30723</v>
      </c>
      <c r="Q13" s="325">
        <v>20131</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327</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1265598.1200000001</v>
      </c>
      <c r="E15" s="325">
        <v>1430778</v>
      </c>
      <c r="F15" s="325"/>
      <c r="G15" s="325"/>
      <c r="H15" s="325"/>
      <c r="I15" s="324">
        <v>1430778</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2465632.81</v>
      </c>
      <c r="E16" s="325">
        <v>1029129</v>
      </c>
      <c r="F16" s="325"/>
      <c r="G16" s="325"/>
      <c r="H16" s="325"/>
      <c r="I16" s="324">
        <v>1029129</v>
      </c>
      <c r="J16" s="324">
        <v>0</v>
      </c>
      <c r="K16" s="325">
        <v>-36</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154580.1</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475095.03999999998</v>
      </c>
      <c r="E20" s="325">
        <v>481004</v>
      </c>
      <c r="F20" s="325"/>
      <c r="G20" s="325"/>
      <c r="H20" s="325"/>
      <c r="I20" s="324">
        <v>481004</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6693452</v>
      </c>
      <c r="E23" s="368"/>
      <c r="F23" s="368"/>
      <c r="G23" s="368"/>
      <c r="H23" s="368"/>
      <c r="I23" s="370"/>
      <c r="J23" s="324">
        <v>712876</v>
      </c>
      <c r="K23" s="368"/>
      <c r="L23" s="368"/>
      <c r="M23" s="368"/>
      <c r="N23" s="368"/>
      <c r="O23" s="370"/>
      <c r="P23" s="324">
        <v>95766999</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52327751</v>
      </c>
      <c r="AU23" s="327">
        <v>0</v>
      </c>
      <c r="AV23" s="374"/>
      <c r="AW23" s="380"/>
    </row>
    <row r="24" spans="2:49" ht="28.5" customHeight="1" x14ac:dyDescent="0.2">
      <c r="B24" s="351" t="s">
        <v>114</v>
      </c>
      <c r="C24" s="337"/>
      <c r="D24" s="371"/>
      <c r="E24" s="325">
        <v>6638721</v>
      </c>
      <c r="F24" s="325"/>
      <c r="G24" s="325"/>
      <c r="H24" s="325"/>
      <c r="I24" s="324">
        <v>6680551.8899999987</v>
      </c>
      <c r="J24" s="371"/>
      <c r="K24" s="325">
        <v>587905</v>
      </c>
      <c r="L24" s="325"/>
      <c r="M24" s="325"/>
      <c r="N24" s="325"/>
      <c r="O24" s="324"/>
      <c r="P24" s="371"/>
      <c r="Q24" s="325">
        <v>95527771</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901370</v>
      </c>
      <c r="E26" s="368"/>
      <c r="F26" s="368"/>
      <c r="G26" s="368"/>
      <c r="H26" s="368"/>
      <c r="I26" s="370"/>
      <c r="J26" s="324">
        <v>72551</v>
      </c>
      <c r="K26" s="368"/>
      <c r="L26" s="368"/>
      <c r="M26" s="368"/>
      <c r="N26" s="368"/>
      <c r="O26" s="370"/>
      <c r="P26" s="324">
        <v>12410263</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9604297</v>
      </c>
      <c r="AU26" s="327">
        <v>0</v>
      </c>
      <c r="AV26" s="374"/>
      <c r="AW26" s="380"/>
    </row>
    <row r="27" spans="2:49" s="11" customFormat="1" ht="25.5" x14ac:dyDescent="0.2">
      <c r="B27" s="351" t="s">
        <v>85</v>
      </c>
      <c r="C27" s="337"/>
      <c r="D27" s="371"/>
      <c r="E27" s="325">
        <v>119198</v>
      </c>
      <c r="F27" s="325"/>
      <c r="G27" s="325"/>
      <c r="H27" s="325"/>
      <c r="I27" s="324">
        <v>119198</v>
      </c>
      <c r="J27" s="371"/>
      <c r="K27" s="325">
        <v>13511</v>
      </c>
      <c r="L27" s="325"/>
      <c r="M27" s="325"/>
      <c r="N27" s="325"/>
      <c r="O27" s="324"/>
      <c r="P27" s="371"/>
      <c r="Q27" s="325">
        <v>2223157</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1245576</v>
      </c>
      <c r="E28" s="369"/>
      <c r="F28" s="369"/>
      <c r="G28" s="369"/>
      <c r="H28" s="369"/>
      <c r="I28" s="371"/>
      <c r="J28" s="324">
        <v>62237</v>
      </c>
      <c r="K28" s="369"/>
      <c r="L28" s="369"/>
      <c r="M28" s="369"/>
      <c r="N28" s="369"/>
      <c r="O28" s="371"/>
      <c r="P28" s="324">
        <v>12597119</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7574497</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3996</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13292</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7963</v>
      </c>
      <c r="E34" s="368"/>
      <c r="F34" s="368"/>
      <c r="G34" s="368"/>
      <c r="H34" s="368"/>
      <c r="I34" s="370"/>
      <c r="J34" s="324">
        <v>647</v>
      </c>
      <c r="K34" s="368"/>
      <c r="L34" s="368"/>
      <c r="M34" s="368"/>
      <c r="N34" s="368"/>
      <c r="O34" s="370"/>
      <c r="P34" s="324">
        <v>93583</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7963</v>
      </c>
      <c r="F35" s="325"/>
      <c r="G35" s="325"/>
      <c r="H35" s="325"/>
      <c r="I35" s="324">
        <v>7963</v>
      </c>
      <c r="J35" s="371"/>
      <c r="K35" s="325">
        <v>647</v>
      </c>
      <c r="L35" s="325"/>
      <c r="M35" s="325"/>
      <c r="N35" s="325"/>
      <c r="O35" s="324"/>
      <c r="P35" s="371"/>
      <c r="Q35" s="325">
        <v>93583</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10925</v>
      </c>
      <c r="E36" s="325">
        <v>10925</v>
      </c>
      <c r="F36" s="325"/>
      <c r="G36" s="325"/>
      <c r="H36" s="325"/>
      <c r="I36" s="324">
        <v>10925</v>
      </c>
      <c r="J36" s="324">
        <v>538</v>
      </c>
      <c r="K36" s="325">
        <v>538</v>
      </c>
      <c r="L36" s="325"/>
      <c r="M36" s="325"/>
      <c r="N36" s="325"/>
      <c r="O36" s="324"/>
      <c r="P36" s="324">
        <v>93642</v>
      </c>
      <c r="Q36" s="325">
        <v>93642</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-18777</v>
      </c>
      <c r="E38" s="368"/>
      <c r="F38" s="368"/>
      <c r="G38" s="368"/>
      <c r="H38" s="368"/>
      <c r="I38" s="370"/>
      <c r="J38" s="324">
        <v>0</v>
      </c>
      <c r="K38" s="368"/>
      <c r="L38" s="368"/>
      <c r="M38" s="368"/>
      <c r="N38" s="368"/>
      <c r="O38" s="370"/>
      <c r="P38" s="324">
        <v>969864</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969864</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-29715</v>
      </c>
      <c r="E41" s="368"/>
      <c r="F41" s="368"/>
      <c r="G41" s="368"/>
      <c r="H41" s="368"/>
      <c r="I41" s="370"/>
      <c r="J41" s="324">
        <v>0</v>
      </c>
      <c r="K41" s="368"/>
      <c r="L41" s="368"/>
      <c r="M41" s="368"/>
      <c r="N41" s="368"/>
      <c r="O41" s="370"/>
      <c r="P41" s="324">
        <v>1622599</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-1155970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-435331</v>
      </c>
      <c r="E43" s="369"/>
      <c r="F43" s="369"/>
      <c r="G43" s="369"/>
      <c r="H43" s="369"/>
      <c r="I43" s="371"/>
      <c r="J43" s="324">
        <v>0</v>
      </c>
      <c r="K43" s="369"/>
      <c r="L43" s="369"/>
      <c r="M43" s="369"/>
      <c r="N43" s="369"/>
      <c r="O43" s="371"/>
      <c r="P43" s="324">
        <v>2750639</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4495</v>
      </c>
      <c r="E45" s="325">
        <v>4495</v>
      </c>
      <c r="F45" s="325"/>
      <c r="G45" s="325"/>
      <c r="H45" s="325"/>
      <c r="I45" s="324">
        <v>4493.9999999999936</v>
      </c>
      <c r="J45" s="324">
        <v>437</v>
      </c>
      <c r="K45" s="325">
        <v>437</v>
      </c>
      <c r="L45" s="325"/>
      <c r="M45" s="325"/>
      <c r="N45" s="325"/>
      <c r="O45" s="324"/>
      <c r="P45" s="324">
        <v>106687</v>
      </c>
      <c r="Q45" s="325">
        <v>83918</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33676</v>
      </c>
      <c r="E49" s="325">
        <v>28</v>
      </c>
      <c r="F49" s="325"/>
      <c r="G49" s="325"/>
      <c r="H49" s="325"/>
      <c r="I49" s="324">
        <v>28</v>
      </c>
      <c r="J49" s="324">
        <v>6716</v>
      </c>
      <c r="K49" s="325">
        <v>6</v>
      </c>
      <c r="L49" s="325"/>
      <c r="M49" s="325"/>
      <c r="N49" s="325"/>
      <c r="O49" s="324"/>
      <c r="P49" s="324">
        <v>753987</v>
      </c>
      <c r="Q49" s="325">
        <v>719</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18</v>
      </c>
      <c r="AU49" s="327">
        <v>0</v>
      </c>
      <c r="AV49" s="374"/>
      <c r="AW49" s="380"/>
    </row>
    <row r="50" spans="2:49" x14ac:dyDescent="0.2">
      <c r="B50" s="349" t="s">
        <v>119</v>
      </c>
      <c r="C50" s="337" t="s">
        <v>34</v>
      </c>
      <c r="D50" s="324">
        <v>50240</v>
      </c>
      <c r="E50" s="369"/>
      <c r="F50" s="369"/>
      <c r="G50" s="369"/>
      <c r="H50" s="369"/>
      <c r="I50" s="371"/>
      <c r="J50" s="324">
        <v>7806</v>
      </c>
      <c r="K50" s="369"/>
      <c r="L50" s="369"/>
      <c r="M50" s="369"/>
      <c r="N50" s="369"/>
      <c r="O50" s="371"/>
      <c r="P50" s="324">
        <v>1044390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6744886</v>
      </c>
      <c r="E54" s="329">
        <f>E24+E27+E31+E35-E36+E39+E42+E45+E46-E49+E51+E52+E53</f>
        <v>6759424</v>
      </c>
      <c r="F54" s="329">
        <f>F24+F27+F31+F35-F36+F39+F42+F45+F46-F49+F51+F52+F53</f>
        <v>0</v>
      </c>
      <c r="G54" s="329">
        <f>G24+G27+G31+G35-G36+G39+G42+G45+G46-G49+G51+G52+G53</f>
        <v>0</v>
      </c>
      <c r="H54" s="329">
        <f>H24+H27+H31+H35-H36+H39+H42+H45+H46-H49+H51+H52+H53</f>
        <v>0</v>
      </c>
      <c r="I54" s="328">
        <f>I24+I27+I31+I35-I36+I39+I42+I45+I46-I49+I51+I52+I53</f>
        <v>6801253.8899999987</v>
      </c>
      <c r="J54" s="328">
        <f>J23+J26-J28+J30-J32+J34-J36+J38+J41-J43+J45+J46-J47-J49+J50+J51+J52+J53</f>
        <v>724826</v>
      </c>
      <c r="K54" s="329">
        <f>K24+K27+K31+K35-K36+K39+K42+K45+K46-K49+K51+K52+K53</f>
        <v>601956</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95818998</v>
      </c>
      <c r="Q54" s="329">
        <f>Q24+Q27+Q31+Q35-Q36+Q39+Q42+Q45+Q46-Q49+Q51+Q52+Q53</f>
        <v>97647962</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54357533</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19408193</v>
      </c>
      <c r="AU57" s="327">
        <v>0</v>
      </c>
      <c r="AV57" s="327"/>
      <c r="AW57" s="380"/>
    </row>
    <row r="58" spans="2:49" s="11" customFormat="1" x14ac:dyDescent="0.2">
      <c r="B58" s="357" t="s">
        <v>494</v>
      </c>
      <c r="C58" s="358"/>
      <c r="D58" s="359">
        <v>234394</v>
      </c>
      <c r="E58" s="360">
        <v>142096</v>
      </c>
      <c r="F58" s="360"/>
      <c r="G58" s="360"/>
      <c r="H58" s="360"/>
      <c r="I58" s="359">
        <v>-234375</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125667</v>
      </c>
      <c r="D6" s="404">
        <v>11043302</v>
      </c>
      <c r="E6" s="406">
        <f>SUM('Pt 1 Summary of Data'!E$12,'Pt 1 Summary of Data'!E$22)+SUM('Pt 1 Summary of Data'!G$12,'Pt 1 Summary of Data'!G$22)-SUM('Pt 1 Summary of Data'!H$12,'Pt 1 Summary of Data'!H$22)</f>
        <v>6759424</v>
      </c>
      <c r="F6" s="406">
        <f>SUM(C6:E6)</f>
        <v>17928393</v>
      </c>
      <c r="G6" s="407">
        <f>SUM('Pt 1 Summary of Data'!I$12,'Pt 1 Summary of Data'!I$22)</f>
        <v>6801253.8899999987</v>
      </c>
      <c r="H6" s="403">
        <v>4059018</v>
      </c>
      <c r="I6" s="404">
        <v>693865</v>
      </c>
      <c r="J6" s="406">
        <f>SUM('Pt 1 Summary of Data'!K$12,'Pt 1 Summary of Data'!K$22)+SUM('Pt 1 Summary of Data'!M$12,'Pt 1 Summary of Data'!M$22)-SUM('Pt 1 Summary of Data'!N$12,'Pt 1 Summary of Data'!N$22)</f>
        <v>601956</v>
      </c>
      <c r="K6" s="406">
        <f>SUM(H6:J6)</f>
        <v>5354839</v>
      </c>
      <c r="L6" s="407">
        <f>SUM('Pt 1 Summary of Data'!O$12,'Pt 1 Summary of Data'!O$22)</f>
        <v>0</v>
      </c>
      <c r="M6" s="403">
        <v>95595270</v>
      </c>
      <c r="N6" s="404">
        <v>99198845</v>
      </c>
      <c r="O6" s="406">
        <f>SUM('Pt 1 Summary of Data'!Q$12,'Pt 1 Summary of Data'!Q$22)+SUM('Pt 1 Summary of Data'!S$12,'Pt 1 Summary of Data'!S$22)-SUM('Pt 1 Summary of Data'!T$12,'Pt 1 Summary of Data'!T$22)</f>
        <v>97647962</v>
      </c>
      <c r="P6" s="406">
        <f>SUM(M6:O6)</f>
        <v>292442077</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303</v>
      </c>
      <c r="D7" s="404">
        <v>27747</v>
      </c>
      <c r="E7" s="406">
        <f>SUM('Pt 1 Summary of Data'!E$37:E$41)+SUM('Pt 1 Summary of Data'!G$37:G$41)-SUM('Pt 1 Summary of Data'!H$37:H$41)+MAX(0,MIN('Pt 1 Summary of Data'!E$42+'Pt 1 Summary of Data'!G$42-'Pt 1 Summary of Data'!H$42,0.3%*('Pt 1 Summary of Data'!E$5+'Pt 1 Summary of Data'!G$5-'Pt 1 Summary of Data'!H$5-SUM(E$9:E$11))))</f>
        <v>28163</v>
      </c>
      <c r="F7" s="406">
        <f>SUM(C7:E7)</f>
        <v>56213</v>
      </c>
      <c r="G7" s="407">
        <f>SUM('Pt 1 Summary of Data'!I$37:I$41)+MAX(0,MIN(VALUE('Pt 1 Summary of Data'!I$42),0.3%*('Pt 1 Summary of Data'!I$5-SUM(G$9:G$10))))</f>
        <v>28163</v>
      </c>
      <c r="H7" s="403">
        <v>15362</v>
      </c>
      <c r="I7" s="404">
        <v>2643</v>
      </c>
      <c r="J7" s="406">
        <f>SUM('Pt 1 Summary of Data'!K$37:K$41)+SUM('Pt 1 Summary of Data'!M$37:M$41)-SUM('Pt 1 Summary of Data'!N$37:N$41)+MAX(0,MIN('Pt 1 Summary of Data'!K$42+'Pt 1 Summary of Data'!M$42-'Pt 1 Summary of Data'!N$42,0.3%*('Pt 1 Summary of Data'!K$5+'Pt 1 Summary of Data'!M$5-'Pt 1 Summary of Data'!N$5-SUM(J$10:J$11))))</f>
        <v>4243</v>
      </c>
      <c r="K7" s="406">
        <f>SUM(H7:J7)</f>
        <v>22248</v>
      </c>
      <c r="L7" s="407">
        <f>SUM('Pt 1 Summary of Data'!O$37:O$41)+MAX(0,MIN(VALUE('Pt 1 Summary of Data'!O$42),0.3%*('Pt 1 Summary of Data'!O$5-L$10)))</f>
        <v>0</v>
      </c>
      <c r="M7" s="403">
        <v>769879</v>
      </c>
      <c r="N7" s="404">
        <v>518201</v>
      </c>
      <c r="O7" s="406">
        <f>SUM('Pt 1 Summary of Data'!Q$37:Q$41)+SUM('Pt 1 Summary of Data'!S$37:S$41)-SUM('Pt 1 Summary of Data'!T$37:T$41)+MAX(0,MIN('Pt 1 Summary of Data'!Q$42+'Pt 1 Summary of Data'!S$42-'Pt 1 Summary of Data'!T$42,0.3%*('Pt 1 Summary of Data'!Q$5+'Pt 1 Summary of Data'!S$5-'Pt 1 Summary of Data'!T$5)))</f>
        <v>539235</v>
      </c>
      <c r="P7" s="406">
        <f>SUM(M7:O7)</f>
        <v>1827315</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180380</v>
      </c>
      <c r="E8" s="406">
        <f>'Pt 2 Premium and Claims'!E58+'Pt 2 Premium and Claims'!G58-'Pt 2 Premium and Claims'!H58</f>
        <v>142096</v>
      </c>
      <c r="F8" s="406">
        <f>SUM(C8:E8)</f>
        <v>322476</v>
      </c>
      <c r="G8" s="407">
        <f>'Pt 2 Premium and Claims'!I58</f>
        <v>-234375</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4060861</v>
      </c>
      <c r="E9" s="406">
        <f>'Pt 2 Premium and Claims'!E$15+'Pt 2 Premium and Claims'!G$15-'Pt 2 Premium and Claims'!H$15</f>
        <v>1430778</v>
      </c>
      <c r="F9" s="406">
        <f>SUM(C9:E9)</f>
        <v>5491639</v>
      </c>
      <c r="G9" s="407">
        <f>'Pt 2 Premium and Claims'!I$15</f>
        <v>1430778</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1978320</v>
      </c>
      <c r="E10" s="406">
        <f>'Pt 2 Premium and Claims'!E$16+'Pt 2 Premium and Claims'!G$16-'Pt 2 Premium and Claims'!H$16</f>
        <v>1029129</v>
      </c>
      <c r="F10" s="406">
        <f>SUM(C10:E10)</f>
        <v>3007449</v>
      </c>
      <c r="G10" s="407">
        <f>'Pt 2 Premium and Claims'!I$16</f>
        <v>1029129</v>
      </c>
      <c r="H10" s="449"/>
      <c r="I10" s="404">
        <v>-24006</v>
      </c>
      <c r="J10" s="406">
        <f>'Pt 2 Premium and Claims'!K$16+'Pt 2 Premium and Claims'!M$16-'Pt 2 Premium and Claims'!N$16</f>
        <v>-36</v>
      </c>
      <c r="K10" s="406">
        <f>SUM(H10:J10)</f>
        <v>-24042</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7512</v>
      </c>
      <c r="E11" s="406">
        <f>'Pt 2 Premium and Claims'!E$17+'Pt 2 Premium and Claims'!G$17-'Pt 2 Premium and Claims'!H$17</f>
        <v>0</v>
      </c>
      <c r="F11" s="406">
        <f>SUM(C11:E11)</f>
        <v>7512</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125970</v>
      </c>
      <c r="D12" s="406">
        <f>SUM(D$6:D$7) - SUM(D$8:D$11)+IF(AND(OR('Company Information'!$C$12="District of Columbia",'Company Information'!$C$12="Massachusetts",'Company Information'!$C$12="Vermont"),SUM($C$6:$F$11,$C$15:$F$16,$C$38:$D$38)&lt;&gt;0),SUM(I$6:I$7) - SUM(I$10:I$11),0)</f>
        <v>4843976</v>
      </c>
      <c r="E12" s="406">
        <f>SUM(E$6:E$7)-SUM(E$8:E$11)+IF(AND(OR('Company Information'!$C$12="District of Columbia",'Company Information'!$C$12="Massachusetts",'Company Information'!$C$12="Vermont"),SUM($C$6:$F$11,$C$15:$F$16,$C$38:$D$38)&lt;&gt;0),SUM(J$6:J$7)-SUM(J$10:J$11),0)</f>
        <v>4185584</v>
      </c>
      <c r="F12" s="406">
        <f>IFERROR(SUM(C$12:E$12)+C$17*MAX(0,E$50-C$50)+D$17*MAX(0,E$50-D$50),0)</f>
        <v>9155530</v>
      </c>
      <c r="G12" s="453"/>
      <c r="H12" s="405">
        <f>SUM(H$6:H$7)+IF(AND(OR('Company Information'!$C$12="District of Columbia",'Company Information'!$C$12="Massachusetts",'Company Information'!$C$12="Vermont"),SUM($H$6:$K$11,$H$15:$K$16,$H$38:$I$38)&lt;&gt;0),SUM(C$6:C$7),0)</f>
        <v>4074380</v>
      </c>
      <c r="I12" s="406">
        <f>SUM(I$6:I$7) - SUM(I$10:I$11)+IF(AND(OR('Company Information'!$C$12="District of Columbia",'Company Information'!$C$12="Massachusetts",'Company Information'!$C$12="Vermont"),SUM($H$6:$K$11,$H$15:$K$16,$H$38:$I$38)&lt;&gt;0),SUM(D$6:D$7) - SUM(D$8:D$11),0)</f>
        <v>720514</v>
      </c>
      <c r="J12" s="406">
        <f>SUM(J$6:J$7)-SUM(J$10:J$11)+IF(AND(OR('Company Information'!$C$12="District of Columbia",'Company Information'!$C$12="Massachusetts",'Company Information'!$C$12="Vermont"),SUM($H$6:$K$11,$H$15:$K$16,$H$38:$I$38)&lt;&gt;0),SUM(E$6:E$7)-SUM(E$8:E$11),0)</f>
        <v>606235</v>
      </c>
      <c r="K12" s="406">
        <f>IFERROR(SUM(H$12:J$12)+H$17*MAX(0,J$50-H$50)+I$17*MAX(0,J$50-I$50),0)</f>
        <v>5401129</v>
      </c>
      <c r="L12" s="453"/>
      <c r="M12" s="405">
        <f>SUM(M$6:M$7)</f>
        <v>96365149</v>
      </c>
      <c r="N12" s="406">
        <f>SUM(N$6:N$7)</f>
        <v>99717046</v>
      </c>
      <c r="O12" s="406">
        <f>SUM(O$6:O$7)</f>
        <v>98187197</v>
      </c>
      <c r="P12" s="406">
        <f>SUM(M$12:O$12)+M$17*MAX(0,O$50-M$50)+N$17*MAX(0,O$50-N$50)</f>
        <v>294269392</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184992</v>
      </c>
      <c r="D15" s="409">
        <v>4939299</v>
      </c>
      <c r="E15" s="401">
        <f>SUM('Pt 1 Summary of Data'!E$5:E$7)+SUM('Pt 1 Summary of Data'!G$5:G$7)-SUM('Pt 1 Summary of Data'!H$5:H$7)-SUM(E$9:E$11)</f>
        <v>4527173</v>
      </c>
      <c r="F15" s="401">
        <f>SUM(C15:E15)</f>
        <v>9651464</v>
      </c>
      <c r="G15" s="402">
        <f>SUM('Pt 1 Summary of Data'!I$5:I$7)-SUM(G$9:G$10)</f>
        <v>4524282.4899999807</v>
      </c>
      <c r="H15" s="408">
        <v>3991314</v>
      </c>
      <c r="I15" s="409">
        <v>818900</v>
      </c>
      <c r="J15" s="401">
        <f>SUM('Pt 1 Summary of Data'!K$5:K$7)+SUM('Pt 1 Summary of Data'!M$5:M$7)-SUM('Pt 1 Summary of Data'!N$5:N$7)-SUM(J$10:J$11)</f>
        <v>878257</v>
      </c>
      <c r="K15" s="401">
        <f>SUM(H15:J15)</f>
        <v>5688471</v>
      </c>
      <c r="L15" s="402">
        <f>SUM('Pt 1 Summary of Data'!O$5:O$7)-L$10</f>
        <v>0</v>
      </c>
      <c r="M15" s="408">
        <v>120492929</v>
      </c>
      <c r="N15" s="409">
        <v>125242602</v>
      </c>
      <c r="O15" s="401">
        <f>SUM('Pt 1 Summary of Data'!Q$5:Q$7)+SUM('Pt 1 Summary of Data'!S$5:S$7)-SUM('Pt 1 Summary of Data'!T$5:T$7)+N$56</f>
        <v>121534121</v>
      </c>
      <c r="P15" s="401">
        <f>SUM(M15:O15)</f>
        <v>367269652</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15100</v>
      </c>
      <c r="D16" s="404">
        <v>-189141</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341267</v>
      </c>
      <c r="F16" s="406">
        <f>SUM(C16:E16)</f>
        <v>167226</v>
      </c>
      <c r="G16" s="407">
        <f>SUM('Pt 1 Summary of Data'!I$25:I$28,'Pt 1 Summary of Data'!I$30,'Pt 1 Summary of Data'!I$34:I$35)+IF('Company Information'!$C$15="No",IF(MAX('Pt 1 Summary of Data'!I$31:I$32)=0,MIN('Pt 1 Summary of Data'!I$31:I$32),MAX('Pt 1 Summary of Data'!I$31:I$32)),SUM('Pt 1 Summary of Data'!I$31:I$32))</f>
        <v>476660.78</v>
      </c>
      <c r="H16" s="403">
        <v>-51397</v>
      </c>
      <c r="I16" s="404">
        <v>42161</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67936</v>
      </c>
      <c r="K16" s="406">
        <f>SUM(H16:J16)</f>
        <v>58700</v>
      </c>
      <c r="L16" s="407">
        <f>SUM('Pt 1 Summary of Data'!O$25:O$28,'Pt 1 Summary of Data'!O$30,'Pt 1 Summary of Data'!O$34:O$35)+IF('Company Information'!$C$15="No",IF(MAX('Pt 1 Summary of Data'!O$31:O$32)=0,MIN('Pt 1 Summary of Data'!O$31:O$32),MAX('Pt 1 Summary of Data'!O$31:O$32)),SUM('Pt 1 Summary of Data'!O$31:O$32))</f>
        <v>0</v>
      </c>
      <c r="M16" s="403">
        <v>4954442</v>
      </c>
      <c r="N16" s="404">
        <v>11252053</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11165588</v>
      </c>
      <c r="P16" s="406">
        <f>SUM(M16:O16)</f>
        <v>27372083</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169892</v>
      </c>
      <c r="D17" s="406">
        <f>D$15-D$16+IF(AND(OR('Company Information'!$C$12="District of Columbia",'Company Information'!$C$12="Massachusetts",'Company Information'!$C$12="Vermont"),SUM($C$6:$F$11,$C$15:$F$16,$C$38:$D$38)&lt;&gt;0),I$15-I$16,0)</f>
        <v>5128440</v>
      </c>
      <c r="E17" s="406">
        <f>E$15-E$16+IF(AND(OR('Company Information'!$C$12="District of Columbia",'Company Information'!$C$12="Massachusetts",'Company Information'!$C$12="Vermont"),SUM($C$6:$F$11,$C$15:$F$16,$C$38:$D$38)&lt;&gt;0),J$15-J$16,0)</f>
        <v>4185906</v>
      </c>
      <c r="F17" s="406">
        <f>F$15-F$16+IF(AND(OR('Company Information'!$C$12="District of Columbia",'Company Information'!$C$12="Massachusetts",'Company Information'!$C$12="Vermont"),SUM($C$6:$F$11,$C$15:$F$16,$C$38:$D$38)&lt;&gt;0),K$15-K$16,0)</f>
        <v>9484238</v>
      </c>
      <c r="G17" s="456"/>
      <c r="H17" s="405">
        <f>H$15-H$16+IF(AND(OR('Company Information'!$C$12="District of Columbia",'Company Information'!$C$12="Massachusetts",'Company Information'!$C$12="Vermont"),SUM($H$6:$K$11,$H$15:$K$16,$H$38:$I$38)&lt;&gt;0),C$15-C$16,0)</f>
        <v>4042711</v>
      </c>
      <c r="I17" s="406">
        <f>I$15-I$16+IF(AND(OR('Company Information'!$C$12="District of Columbia",'Company Information'!$C$12="Massachusetts",'Company Information'!$C$12="Vermont"),SUM($H$6:$K$11,$H$15:$K$16,$H$38:$I$38)&lt;&gt;0),D$15-D$16,0)</f>
        <v>776739</v>
      </c>
      <c r="J17" s="406">
        <f>J$15-J$16+IF(AND(OR('Company Information'!$C$12="District of Columbia",'Company Information'!$C$12="Massachusetts",'Company Information'!$C$12="Vermont"),SUM($H$6:$K$11,$H$15:$K$16,$H$38:$I$38)&lt;&gt;0),E$15-E$16,0)</f>
        <v>810321</v>
      </c>
      <c r="K17" s="406">
        <f>K$15-K$16+IF(AND(OR('Company Information'!$C$12="District of Columbia",'Company Information'!$C$12="Massachusetts",'Company Information'!$C$12="Vermont"),SUM($H$6:$K$11,$H$15:$K$16,$H$38:$I$38)&lt;&gt;0),F$15-F$16,0)</f>
        <v>5629771</v>
      </c>
      <c r="L17" s="456"/>
      <c r="M17" s="405">
        <f>M$15-M$16</f>
        <v>115538487</v>
      </c>
      <c r="N17" s="406">
        <f>N$15-N$16</f>
        <v>113990549</v>
      </c>
      <c r="O17" s="406">
        <f>O$15-O$16</f>
        <v>110368533</v>
      </c>
      <c r="P17" s="406">
        <f>P$15-P$16</f>
        <v>339897569</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4590061.5199999996</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1184128.04</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202381.08549999903</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-1726567.850000019</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202381.08549999903</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121428.6512999994</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1367137.5561999958</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1863169.9054999992</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1367137.5561999958</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3157144.9338000002</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1286185.1219999962</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121428.6512999994</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1782217.4712999994</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1286185.1219999962</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3238097.3679999998</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f>IF(G$33=0," ",G$19/G$33)</f>
        <v>1.4175180664301754</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955285.52419999999</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955285.52419999999</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14.6258</v>
      </c>
      <c r="D38" s="411">
        <v>1381.33</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992.33333333333337</v>
      </c>
      <c r="F38" s="438">
        <f>SUM(C$38:E$38)+IF(AND(OR('Company Information'!$C$12="District of Columbia",'Company Information'!$C$12="Massachusetts",'Company Information'!$C$12="Vermont"),SUM($C$6:$F$11,$C$15:$F$16,$C$38:$D$38)&lt;&gt;0,SUM(C$38:D$38)&lt;&gt;SUM(H$38:I$38)),SUM(H$38:I$38),0)</f>
        <v>2388.2891333333332</v>
      </c>
      <c r="G38" s="454"/>
      <c r="H38" s="410">
        <v>531.66669999999999</v>
      </c>
      <c r="I38" s="411">
        <v>156.91669999999999</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161.91666666666666</v>
      </c>
      <c r="K38" s="438">
        <f>SUM(H$38:J$38)+IF(AND(OR('Company Information'!$C$12="District of Columbia",'Company Information'!$C$12="Massachusetts",'Company Information'!$C$12="Vermont"),SUM($H$6:$K$11,$H$15:$K$16,$H$38:$I$38)&lt;&gt;0,SUM(H$38:I$38)&lt;&gt;SUM(C$38:D$38)),SUM(C$38:D$38),0)</f>
        <v>850.50006666666661</v>
      </c>
      <c r="L38" s="454"/>
      <c r="M38" s="410">
        <v>27046.9025</v>
      </c>
      <c r="N38" s="411">
        <v>27967.962500000001</v>
      </c>
      <c r="O38" s="438">
        <f>('Pt 1 Summary of Data'!Q$59+'Pt 1 Summary of Data'!S$59-'Pt 1 Summary of Data'!T$59)/12</f>
        <v>26605.583333333332</v>
      </c>
      <c r="P38" s="438">
        <f>SUM(M$38:O$38)</f>
        <v>81620.448333333334</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5.4308691244444443E-2</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 ca="1">IF(OR(F$38&lt;1000,F$38&gt;=75000),0,F$39*F$41)</f>
        <v>5.4308691244444443E-2</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f>IF(OR(D$38&lt;1000,D$17&lt;=0),"",D$12/D$17)</f>
        <v>0.94453206043163218</v>
      </c>
      <c r="E45" s="442" t="str">
        <f>IF(OR(E$38&lt;1000,E$17&lt;=0),"",E$12/E$17)</f>
        <v/>
      </c>
      <c r="F45" s="442">
        <f>IF(OR(F$38&lt;1000,F$17&lt;=0),"",F$12/F$17)</f>
        <v>0.96534165422672857</v>
      </c>
      <c r="G45" s="453"/>
      <c r="H45" s="444" t="str">
        <f>IF(OR(H$38&lt;1000,H$17&lt;=0),"",H$12/H$17)</f>
        <v/>
      </c>
      <c r="I45" s="442" t="str">
        <f>IF(OR(I$38&lt;1000,I$17&lt;=0),"",I$12/I$17)</f>
        <v/>
      </c>
      <c r="J45" s="442" t="str">
        <f>IF(OR(J$38&lt;1000,J$17&lt;=0),"",J$12/J$17)</f>
        <v/>
      </c>
      <c r="K45" s="442" t="str">
        <f>IF(OR(K$38&lt;1000,K$17&lt;=0),"",K$12/K$17)</f>
        <v/>
      </c>
      <c r="L45" s="453"/>
      <c r="M45" s="444">
        <f>IF(OR(M$38&lt;1000,M$17&lt;=0),"",M$12/M$17)</f>
        <v>0.83405237079138828</v>
      </c>
      <c r="N45" s="442">
        <f>IF(OR(N$38&lt;1000,N$17&lt;=0),"",N$12/N$17)</f>
        <v>0.87478345244218447</v>
      </c>
      <c r="O45" s="442">
        <f>IF(OR(O$38&lt;1000,O$17&lt;=0),"",O$12/O$17)</f>
        <v>0.88963035324570272</v>
      </c>
      <c r="P45" s="442">
        <f>IF(OR(P$38&lt;1000,P$17&lt;=0),"",P$12/P$17)</f>
        <v>0.86575903695268852</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f ca="1">IF(F$45="","",F$42)</f>
        <v>5.4308691244444443E-2</v>
      </c>
      <c r="G47" s="453"/>
      <c r="H47" s="449"/>
      <c r="I47" s="447"/>
      <c r="J47" s="447"/>
      <c r="K47" s="442" t="str">
        <f>IF(K$45="","",K$42)</f>
        <v/>
      </c>
      <c r="L47" s="453"/>
      <c r="M47" s="449"/>
      <c r="N47" s="447"/>
      <c r="O47" s="447"/>
      <c r="P47" s="442">
        <f>IF(P$45="","",P$42)</f>
        <v>0</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f ca="1">IF(F$45="","",ROUND(F$45+MAX(0,F$47),3))</f>
        <v>1.02</v>
      </c>
      <c r="G48" s="453"/>
      <c r="H48" s="449"/>
      <c r="I48" s="447"/>
      <c r="J48" s="447"/>
      <c r="K48" s="442" t="str">
        <f>IF(K$45="","",ROUND(K$45+MAX(0,K$47),3))</f>
        <v/>
      </c>
      <c r="L48" s="453"/>
      <c r="M48" s="449"/>
      <c r="N48" s="447"/>
      <c r="O48" s="447"/>
      <c r="P48" s="442">
        <f>IF(P$45="","",ROUND(P$45+MAX(0,P$47),3))</f>
        <v>0.86599999999999999</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f ca="1">F$48</f>
        <v>1.02</v>
      </c>
      <c r="G51" s="453"/>
      <c r="H51" s="450"/>
      <c r="I51" s="448"/>
      <c r="J51" s="448"/>
      <c r="K51" s="442" t="str">
        <f>K$48</f>
        <v/>
      </c>
      <c r="L51" s="453"/>
      <c r="M51" s="450"/>
      <c r="N51" s="448"/>
      <c r="O51" s="448"/>
      <c r="P51" s="442">
        <f>P$48</f>
        <v>0.86599999999999999</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f>IF(F$38&lt;1000,"",MAX(0,E$15-E$16))</f>
        <v>4185906</v>
      </c>
      <c r="G52" s="453"/>
      <c r="H52" s="449"/>
      <c r="I52" s="447"/>
      <c r="J52" s="447"/>
      <c r="K52" s="406" t="str">
        <f>IF(K$38&lt;1000,"",MAX(0,J$15-J$16))</f>
        <v/>
      </c>
      <c r="L52" s="453"/>
      <c r="M52" s="449"/>
      <c r="N52" s="447"/>
      <c r="O52" s="447"/>
      <c r="P52" s="406">
        <f>IF(P$38&lt;1000,"",MAX(0,O$15-O$16))</f>
        <v>110368533</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 ca="1">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5970</v>
      </c>
      <c r="I56" s="447"/>
      <c r="J56" s="447"/>
      <c r="K56" s="447"/>
      <c r="L56" s="453"/>
      <c r="M56" s="403">
        <v>586865</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2186</v>
      </c>
      <c r="I57" s="447"/>
      <c r="J57" s="447"/>
      <c r="K57" s="447"/>
      <c r="L57" s="453"/>
      <c r="M57" s="403">
        <v>216027</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-13823.370000001043</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11066084</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11052260.629999999</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642</v>
      </c>
      <c r="D4" s="110">
        <f>'Pt 1 Summary of Data'!$K$56+'Pt 1 Summary of Data'!$M$56-'Pt 1 Summary of Data'!$N$56</f>
        <v>88</v>
      </c>
      <c r="E4" s="110">
        <f>'Pt 1 Summary of Data'!$Q$56+'Pt 1 Summary of Data'!$S$56-'Pt 1 Summary of Data'!$T$56</f>
        <v>14855</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 ca="1">'Pt 3 MLR and Rebate Calculation'!$F$53</f>
        <v>0</v>
      </c>
      <c r="D11" s="103">
        <f>'Pt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2016-07-29T13:57:46Z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