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G19" i="10" l="1"/>
  <c r="P6" i="10"/>
  <c r="F37" i="10"/>
  <c r="AB37" i="10"/>
  <c r="S6" i="10"/>
  <c r="AA6" i="10"/>
  <c r="E15" i="10"/>
  <c r="G25" i="10"/>
  <c r="K15" i="10"/>
  <c r="K37" i="10"/>
  <c r="E6" i="10"/>
  <c r="P15" i="10"/>
  <c r="P17" i="10" s="1"/>
  <c r="O17" i="10"/>
  <c r="P37" i="10"/>
  <c r="T37" i="10"/>
  <c r="X6" i="10"/>
  <c r="L20" i="10"/>
  <c r="T15" i="10"/>
  <c r="X37" i="10"/>
  <c r="K6" i="10"/>
  <c r="I17" i="10" s="1"/>
  <c r="I44" i="10" s="1"/>
  <c r="G28" i="10"/>
  <c r="L29" i="10"/>
  <c r="L25" i="10"/>
  <c r="L21" i="10"/>
  <c r="L28" i="10"/>
  <c r="J7" i="10"/>
  <c r="K7" i="10" s="1"/>
  <c r="M44" i="10"/>
  <c r="S7" i="10"/>
  <c r="T7" i="10" s="1"/>
  <c r="Z45" i="10"/>
  <c r="AA15" i="10"/>
  <c r="E7" i="10"/>
  <c r="F7" i="10" s="1"/>
  <c r="L19" i="10"/>
  <c r="L24" i="10" s="1"/>
  <c r="L23" i="10" s="1"/>
  <c r="O7" i="10"/>
  <c r="P7" i="10" s="1"/>
  <c r="W15" i="10"/>
  <c r="G7" i="10"/>
  <c r="G20" i="10" s="1"/>
  <c r="O44" i="10" l="1"/>
  <c r="P38" i="10" s="1"/>
  <c r="P41" i="10" s="1"/>
  <c r="P46" i="10" s="1"/>
  <c r="G24" i="10"/>
  <c r="G23" i="10" s="1"/>
  <c r="G27" i="10" s="1"/>
  <c r="I12" i="10"/>
  <c r="H17" i="10"/>
  <c r="J17" i="10"/>
  <c r="J44" i="10" s="1"/>
  <c r="G21" i="10"/>
  <c r="F15" i="10"/>
  <c r="AB45" i="10"/>
  <c r="AB47" i="10" s="1"/>
  <c r="AB50" i="10" s="1"/>
  <c r="AB41" i="10"/>
  <c r="AB51" i="10"/>
  <c r="AB52" i="10" s="1"/>
  <c r="H11" i="16" s="1"/>
  <c r="AB46" i="10"/>
  <c r="AB38" i="10"/>
  <c r="O12" i="10"/>
  <c r="P12" i="10" s="1"/>
  <c r="X15" i="10"/>
  <c r="X17" i="10" s="1"/>
  <c r="X45" i="10" s="1"/>
  <c r="X47" i="10" s="1"/>
  <c r="X50" i="10" s="1"/>
  <c r="AA17" i="10"/>
  <c r="AA45" i="10" s="1"/>
  <c r="AB15" i="10"/>
  <c r="AB17" i="10" s="1"/>
  <c r="P51" i="10"/>
  <c r="P44" i="10"/>
  <c r="K51" i="10"/>
  <c r="K52" i="10" s="1"/>
  <c r="D11" i="16" s="1"/>
  <c r="K46" i="10"/>
  <c r="K44" i="10"/>
  <c r="K47" i="10" s="1"/>
  <c r="K50" i="10" s="1"/>
  <c r="K41" i="10"/>
  <c r="H12" i="10"/>
  <c r="J12" i="10"/>
  <c r="T51" i="10"/>
  <c r="T52" i="10" s="1"/>
  <c r="F11" i="16" s="1"/>
  <c r="T46" i="10"/>
  <c r="T38" i="10"/>
  <c r="T41" i="10"/>
  <c r="F6" i="10"/>
  <c r="D17" i="10" s="1"/>
  <c r="D44" i="10" s="1"/>
  <c r="K17" i="10"/>
  <c r="AA13" i="10"/>
  <c r="AB6" i="10"/>
  <c r="AB13" i="10" s="1"/>
  <c r="F51" i="10"/>
  <c r="F52" i="10" s="1"/>
  <c r="C11" i="16" s="1"/>
  <c r="F46" i="10"/>
  <c r="F41" i="10"/>
  <c r="X41" i="10"/>
  <c r="X51" i="10"/>
  <c r="X52" i="10" s="1"/>
  <c r="G11" i="16" s="1"/>
  <c r="X46" i="10"/>
  <c r="X38" i="10"/>
  <c r="L27" i="10"/>
  <c r="G29" i="10"/>
  <c r="T6" i="10"/>
  <c r="S17" i="10" s="1"/>
  <c r="S45" i="10" s="1"/>
  <c r="Q13" i="10"/>
  <c r="G26" i="10" l="1"/>
  <c r="G30" i="10" s="1"/>
  <c r="G31" i="10"/>
  <c r="G32" i="10" s="1"/>
  <c r="G33" i="10" s="1"/>
  <c r="E17" i="10"/>
  <c r="E44" i="10" s="1"/>
  <c r="R17" i="10"/>
  <c r="R45" i="10" s="1"/>
  <c r="D12" i="10"/>
  <c r="C17" i="10"/>
  <c r="P47" i="10"/>
  <c r="P50" i="10" s="1"/>
  <c r="W17" i="10"/>
  <c r="W45" i="10" s="1"/>
  <c r="F17" i="10"/>
  <c r="F44" i="10" s="1"/>
  <c r="F47" i="10" s="1"/>
  <c r="F50" i="10" s="1"/>
  <c r="V17" i="10"/>
  <c r="V45" i="10" s="1"/>
  <c r="S13" i="10"/>
  <c r="L31" i="10"/>
  <c r="L32" i="10" s="1"/>
  <c r="L33" i="10" s="1"/>
  <c r="L26" i="10"/>
  <c r="L30" i="10" s="1"/>
  <c r="C12" i="10"/>
  <c r="H44" i="10"/>
  <c r="K38" i="10" s="1"/>
  <c r="K12" i="10"/>
  <c r="E12" i="10"/>
  <c r="T17" i="10"/>
  <c r="T45" i="10" s="1"/>
  <c r="T47" i="10" s="1"/>
  <c r="T50" i="10" s="1"/>
  <c r="P52" i="10"/>
  <c r="E11" i="16" s="1"/>
  <c r="V13" i="10"/>
  <c r="U13" i="10"/>
  <c r="R13" i="10"/>
  <c r="Q17" i="10"/>
  <c r="W13" i="10"/>
  <c r="U17" i="10"/>
  <c r="F12" i="10" l="1"/>
  <c r="C44" i="10"/>
  <c r="F38" i="10" s="1"/>
  <c r="Q45" i="10"/>
  <c r="T13" i="10"/>
  <c r="U45" i="10"/>
  <c r="X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<sst xmlns="http://schemas.openxmlformats.org/spreadsheetml/2006/main" count="568" uniqueCount="507">
  <si>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</si>
  <si>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</si>
  <si>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</si>
  <si>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</si>
  <si>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</si>
  <si>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</si>
  <si>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</si>
  <si>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</si>
  <si>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</si>
  <si>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</si>
  <si>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</si>
  <si>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</si>
  <si>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</si>
  <si>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</si>
  <si>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</si>
  <si>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</si>
  <si>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</si>
  <si>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</si>
  <si>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</si>
  <si>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</si>
  <si>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</si>
  <si>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</si>
  <si>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</si>
  <si>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</si>
  <si>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</si>
  <si>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</si>
  <si>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</si>
  <si>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</si>
  <si>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</si>
  <si>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</si>
  <si>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</si>
  <si>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</si>
  <si>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</si>
  <si>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</si>
  <si>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</si>
  <si>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</si>
  <si>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</si>
  <si>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</si>
  <si>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</si>
  <si>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</si>
  <si>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</si>
  <si>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</si>
  <si>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</si>
  <si>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</si>
  <si>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</si>
  <si>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</si>
  <si>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</si>
  <si>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</si>
  <si>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</si>
  <si>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</si>
  <si>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</si>
  <si>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</si>
  <si>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</si>
  <si>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</si>
  <si>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</si>
  <si>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</si>
  <si>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</si>
  <si>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</si>
  <si>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</si>
  <si>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</si>
  <si>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</si>
  <si>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</si>
  <si>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</si>
  <si>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</si>
  <si>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</si>
  <si>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</si>
  <si>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</si>
  <si>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</si>
  <si>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</si>
  <si>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</si>
  <si>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</si>
  <si>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</si>
  <si>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</si>
  <si>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</si>
  <si>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</si>
  <si>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</si>
  <si>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</si>
  <si>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</si>
  <si>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</si>
  <si>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</si>
  <si>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</si>
  <si>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</si>
  <si>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</si>
  <si>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</si>
  <si>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</si>
  <si>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</si>
  <si>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</si>
  <si>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</si>
  <si>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</si>
  <si>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</si>
  <si>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</si>
  <si>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</si>
  <si>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</si>
  <si>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</si>
  <si>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</si>
  <si>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</si>
  <si>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</si>
  <si>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</si>
  <si>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</si>
  <si>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</si>
  <si>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</si>
  <si>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</si>
  <si>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</si>
  <si>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</si>
  <si>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</si>
  <si>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</si>
  <si>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</si>
  <si>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</si>
  <si>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</si>
  <si>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</si>
  <si>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</si>
  <si>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</si>
  <si>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</si>
  <si>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</si>
  <si>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</si>
  <si>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</si>
  <si>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</si>
  <si>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</si>
  <si>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</si>
  <si>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</si>
  <si>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</si>
  <si>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</si>
  <si>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</si>
  <si>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</si>
  <si>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</si>
  <si>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</si>
  <si>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</si>
  <si>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</si>
  <si>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</si>
  <si>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</si>
  <si>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</si>
  <si>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</si>
  <si>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</si>
  <si>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</si>
  <si>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</si>
  <si>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</si>
  <si>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</si>
  <si>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</si>
  <si>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</si>
  <si>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</si>
  <si>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</si>
  <si>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</si>
  <si>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</si>
  <si>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</si>
  <si>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</si>
  <si>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</si>
  <si>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</si>
  <si>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</si>
  <si>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</si>
  <si>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</si>
  <si>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</si>
  <si>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</si>
  <si>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</si>
  <si>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</si>
  <si>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</si>
  <si>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</si>
  <si>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</si>
  <si>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</si>
  <si>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</si>
  <si>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</si>
  <si>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</si>
  <si>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</si>
  <si>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</si>
  <si>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</si>
  <si>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</si>
  <si>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</si>
  <si>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</si>
  <si>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</si>
  <si>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</si>
  <si>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</si>
  <si>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</si>
  <si>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</si>
  <si>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</si>
  <si>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</si>
  <si>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</si>
  <si>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</si>
  <si>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</si>
  <si>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</si>
  <si>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</si>
  <si>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</si>
  <si>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</si>
  <si>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</si>
  <si>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</si>
  <si>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</si>
  <si>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</si>
  <si>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</si>
  <si>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</si>
  <si>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</si>
  <si>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</si>
  <si>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</si>
  <si>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</si>
  <si>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</si>
  <si>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</si>
  <si>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</si>
  <si>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</si>
  <si>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</si>
  <si>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</si>
  <si>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</si>
  <si>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</si>
  <si>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</si>
  <si>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</si>
  <si>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</si>
  <si>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</si>
  <si>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</si>
  <si>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</si>
  <si>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</si>
  <si>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</si>
  <si>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</si>
  <si>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</si>
  <si>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</si>
  <si>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</si>
  <si>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</si>
  <si>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</si>
  <si>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</si>
  <si>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</si>
  <si>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</si>
  <si>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</si>
  <si>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</si>
  <si>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</si>
  <si>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</si>
  <si>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</si>
  <si>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</si>
  <si>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</si>
  <si>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</si>
  <si>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</si>
  <si>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</si>
  <si>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</si>
  <si>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</si>
  <si>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</si>
  <si>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</si>
  <si>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</si>
  <si>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</si>
  <si>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</si>
  <si>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</si>
  <si>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</si>
  <si>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</si>
  <si>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</si>
  <si>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</si>
  <si>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</si>
  <si>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</si>
  <si>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</si>
  <si>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</si>
  <si>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</si>
  <si>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</si>
  <si>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</si>
  <si>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</si>
  <si>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</si>
  <si>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</si>
  <si>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</si>
  <si>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</si>
  <si>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</si>
  <si>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</si>
  <si>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</si>
  <si>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</si>
  <si>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</si>
  <si>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</si>
  <si>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</si>
  <si>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</si>
  <si>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</si>
  <si>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</si>
  <si>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</si>
  <si>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</si>
  <si>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</si>
  <si>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</si>
  <si>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</si>
  <si>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</si>
  <si>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</si>
  <si>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</si>
  <si>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</si>
  <si>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</si>
  <si>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</si>
  <si>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</si>
  <si>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</si>
  <si>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</si>
  <si>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</si>
  <si>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</si>
  <si>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</si>
  <si>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</si>
  <si>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</si>
  <si>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</si>
  <si>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</si>
  <si>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</si>
  <si>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</si>
  <si>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</si>
  <si>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</si>
  <si>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</si>
  <si>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</si>
  <si>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</si>
  <si>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</si>
  <si>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</si>
  <si>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</si>
  <si>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</si>
  <si>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</si>
  <si>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</si>
  <si>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</si>
  <si>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</si>
  <si>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</si>
  <si>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</si>
  <si>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</si>
  <si>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</si>
  <si>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</si>
  <si>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</si>
  <si>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</si>
  <si>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</si>
  <si>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</si>
  <si>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</si>
  <si>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</si>
  <si>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</si>
  <si>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</si>
  <si>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</si>
  <si>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</si>
  <si>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</si>
  <si>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</si>
  <si>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</si>
  <si>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</si>
  <si>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</si>
  <si>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</si>
  <si>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</si>
  <si>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</si>
  <si>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</si>
  <si>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</si>
  <si>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</si>
  <si>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</si>
  <si>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</si>
  <si>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</si>
  <si>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</si>
  <si>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</si>
  <si>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</si>
  <si>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</si>
  <si>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</si>
  <si>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</si>
  <si>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</si>
  <si>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</si>
  <si>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</si>
  <si>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</si>
  <si>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</si>
  <si>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</si>
  <si>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</si>
  <si>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</si>
  <si>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</si>
  <si>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</si>
  <si>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</si>
  <si>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</si>
  <si>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</si>
  <si>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</si>
  <si>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</si>
  <si>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</si>
  <si>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</si>
  <si>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</si>
  <si>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</si>
  <si>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</si>
  <si>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</si>
  <si>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</si>
  <si>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</si>
  <si>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</si>
  <si>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</si>
  <si>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</si>
  <si>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</si>
  <si>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</si>
  <si>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</si>
  <si>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</si>
  <si>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</si>
  <si>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</si>
  <si>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</si>
  <si>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</si>
  <si>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</si>
  <si>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</si>
  <si>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</si>
  <si>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</si>
  <si>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</si>
  <si>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</si>
  <si>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</si>
  <si>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</si>
  <si>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</si>
  <si>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</si>
  <si>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</si>
  <si>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</si>
  <si>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</si>
  <si>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</si>
  <si>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</si>
  <si>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</si>
  <si>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</si>
  <si>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</si>
  <si>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</si>
  <si>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</si>
  <si>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</si>
  <si>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</si>
  <si>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</si>
  <si>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</si>
  <si>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</si>
  <si>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</si>
  <si>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</si>
  <si>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</si>
  <si>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</si>
  <si>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</si>
  <si>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</si>
  <si>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</si>
  <si>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</si>
  <si>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</si>
  <si>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</si>
  <si>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</si>
  <si>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</si>
  <si>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</si>
  <si>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</si>
  <si>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</si>
  <si>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</si>
  <si>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</si>
  <si>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</si>
  <si>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</si>
  <si>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</si>
  <si>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</si>
  <si>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</si>
  <si>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</si>
  <si>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</si>
  <si>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</si>
  <si>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</si>
  <si>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</si>
  <si>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</si>
  <si>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</si>
  <si>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</si>
  <si>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</si>
  <si>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</si>
  <si>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</si>
  <si>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</si>
  <si>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</si>
  <si>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</si>
  <si>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</si>
  <si>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</si>
  <si>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</si>
  <si>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</si>
  <si>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</si>
  <si>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</si>
  <si>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</si>
  <si>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</si>
  <si>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</si>
  <si>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</si>
  <si>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</si>
  <si>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</si>
  <si>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</si>
  <si>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</si>
  <si>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</si>
  <si>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</si>
  <si>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</si>
  <si>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</si>
  <si>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</si>
  <si>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</si>
  <si>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</si>
  <si>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</si>
  <si>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</si>
  <si>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</si>
  <si>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</si>
  <si>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</si>
  <si>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</si>
  <si>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</si>
  <si>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</si>
  <si>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</si>
  <si>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</si>
  <si>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</si>
  <si>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</si>
  <si>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</si>
  <si>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</si>
  <si>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</si>
  <si>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</si>
  <si>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</si>
  <si>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</si>
  <si>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</si>
  <si>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</si>
  <si>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</si>
  <si>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</si>
  <si>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</si>
  <si>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</si>
  <si>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</si>
  <si>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</si>
  <si>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</si>
  <si>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</si>
  <si>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</si>
  <si>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</si>
  <si>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</si>
  <si>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</si>
  <si>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</si>
  <si>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</si>
  <si>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</si>
  <si>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</si>
  <si>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</si>
  <si>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</si>
  <si>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</si>
  <si>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</si>
  <si>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</si>
  <si>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</si>
  <si>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</si>
  <si>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</si>
  <si>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</si>
  <si>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</si>
  <si>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</si>
  <si>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</si>
  <si>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</si>
  <si>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</si>
  <si>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</si>
  <si>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</si>
  <si>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</si>
  <si>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</si>
  <si>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</si>
  <si>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</si>
  <si>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57017</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</si>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</sst>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17457718</v>
      </c>
      <c r="Q5" s="112">
        <f>'Pt 2 Premium and Claims'!Q5+'Pt 2 Premium and Claims'!Q6-'Pt 2 Premium and Claims'!Q7-'Pt 2 Premium and Claims'!Q13+'Pt 2 Premium and Claims'!Q14</f>
        <v>17478000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4120727</v>
      </c>
      <c r="AT5" s="113">
        <f>'Pt 2 Premium and Claims'!AT5+'Pt 2 Premium and Claims'!AT6-'Pt 2 Premium and Claims'!AT7-'Pt 2 Premium and Claims'!AT13+'Pt 2 Premium and Claims'!AT14</f>
        <v>18870726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-20408</v>
      </c>
      <c r="Q7" s="116">
        <f>P7</f>
        <v>-20408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-22063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13846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-2363</v>
      </c>
      <c r="E12" s="112">
        <f>'Pt 2 Premium and Claims'!E54</f>
        <v>-735</v>
      </c>
      <c r="F12" s="112"/>
      <c r="G12" s="112"/>
      <c r="H12" s="112"/>
      <c r="I12" s="111">
        <f>'Pt 2 Premium and Claims'!I54</f>
        <v>0</v>
      </c>
      <c r="J12" s="111">
        <f>'Pt 2 Premium and Claims'!J54</f>
        <v>-5</v>
      </c>
      <c r="K12" s="112">
        <f>'Pt 2 Premium and Claims'!K54</f>
        <v>-5</v>
      </c>
      <c r="L12" s="112"/>
      <c r="M12" s="112"/>
      <c r="N12" s="112"/>
      <c r="O12" s="111">
        <f>'Pt 2 Premium and Claims'!O54</f>
        <v>0</v>
      </c>
      <c r="P12" s="111">
        <f>'Pt 2 Premium and Claims'!P54</f>
        <v>12090659</v>
      </c>
      <c r="Q12" s="112">
        <f>'Pt 2 Premium and Claims'!Q54</f>
        <v>11489467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3956141</v>
      </c>
      <c r="AT12" s="113">
        <f>'Pt 2 Premium and Claims'!AT54</f>
        <v>13365181</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1436687</v>
      </c>
      <c r="Q13" s="116">
        <v>1392023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4924130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210284</v>
      </c>
      <c r="Q14" s="116">
        <v>107233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1146444</v>
      </c>
      <c r="AT14" s="119">
        <v>22113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23624</v>
      </c>
      <c r="Q15" s="116">
        <v>25776</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-76477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-106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162962</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798667</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411065</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929</v>
      </c>
      <c r="E25" s="116">
        <f>D25</f>
        <v>929</v>
      </c>
      <c r="F25" s="116"/>
      <c r="G25" s="116"/>
      <c r="H25" s="116"/>
      <c r="I25" s="115">
        <v>0</v>
      </c>
      <c r="J25" s="115">
        <v>2</v>
      </c>
      <c r="K25" s="116">
        <f>J25</f>
        <v>2</v>
      </c>
      <c r="L25" s="116"/>
      <c r="M25" s="116"/>
      <c r="N25" s="116"/>
      <c r="O25" s="115">
        <v>0</v>
      </c>
      <c r="P25" s="115">
        <v>1188917</v>
      </c>
      <c r="Q25" s="116">
        <f>P25</f>
        <v>1188917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-52621</v>
      </c>
      <c r="AT25" s="119">
        <v>1320663</v>
      </c>
      <c r="AU25" s="119">
        <v>0</v>
      </c>
      <c r="AV25" s="119">
        <v>-8745726</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15194</v>
      </c>
      <c r="Q26" s="116">
        <f>P26</f>
        <v>15194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293470</v>
      </c>
      <c r="Q27" s="116">
        <f>P27</f>
        <v>293470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55953</v>
      </c>
      <c r="AT27" s="119">
        <v>153970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51917</v>
      </c>
      <c r="Q28" s="116">
        <f>P28</f>
        <v>51917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2980</v>
      </c>
      <c r="AT28" s="119">
        <v>20925</v>
      </c>
      <c r="AU28" s="119">
        <v>0</v>
      </c>
      <c r="AV28" s="119">
        <v>2372739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54400</v>
      </c>
      <c r="Q30" s="116">
        <f>P30</f>
        <v>54400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57753</v>
      </c>
      <c r="AU30" s="119">
        <v>0</v>
      </c>
      <c r="AV30" s="119">
        <v>73824</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304972</v>
      </c>
      <c r="Q31" s="116">
        <f>P31</f>
        <v>304972</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329707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451835</v>
      </c>
      <c r="Q34" s="116">
        <f>P34</f>
        <v>451835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126</v>
      </c>
      <c r="Q35" s="116">
        <f>P35</f>
        <v>126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16</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9352</v>
      </c>
      <c r="Q37" s="124">
        <v>9308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74796</v>
      </c>
      <c r="AT37" s="125">
        <v>245</v>
      </c>
      <c r="AU37" s="125">
        <v>0</v>
      </c>
      <c r="AV37" s="125">
        <v>2894320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417</v>
      </c>
      <c r="Q38" s="116">
        <v>416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15</v>
      </c>
      <c r="AU38" s="119">
        <v>0</v>
      </c>
      <c r="AV38" s="119">
        <v>234864</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13943</v>
      </c>
      <c r="Q39" s="116">
        <v>13781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252</v>
      </c>
      <c r="AU39" s="119">
        <v>0</v>
      </c>
      <c r="AV39" s="119">
        <v>81929</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2296</v>
      </c>
      <c r="Q40" s="116">
        <v>2290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223</v>
      </c>
      <c r="AU40" s="119">
        <v>0</v>
      </c>
      <c r="AV40" s="119">
        <v>492406</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7555</v>
      </c>
      <c r="Q41" s="116">
        <v>7555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1165</v>
      </c>
      <c r="AU41" s="119">
        <v>0</v>
      </c>
      <c r="AV41" s="119">
        <v>1151229</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2352</v>
      </c>
      <c r="Q42" s="116">
        <f>P42</f>
        <v>2352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199680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v>
      </c>
      <c r="E44" s="124">
        <v>0</v>
      </c>
      <c r="F44" s="124"/>
      <c r="G44" s="124"/>
      <c r="H44" s="124"/>
      <c r="I44" s="123">
        <v>0</v>
      </c>
      <c r="J44" s="123">
        <v>0</v>
      </c>
      <c r="K44" s="124">
        <v>0</v>
      </c>
      <c r="L44" s="124"/>
      <c r="M44" s="124"/>
      <c r="N44" s="124"/>
      <c r="O44" s="123">
        <v>0</v>
      </c>
      <c r="P44" s="123">
        <v>399222</v>
      </c>
      <c r="Q44" s="124">
        <v>398038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5894</v>
      </c>
      <c r="AU44" s="125">
        <v>0</v>
      </c>
      <c r="AV44" s="125">
        <v>11779202</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7161</v>
      </c>
      <c r="Q45" s="116">
        <f>P45</f>
        <v>7161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151</v>
      </c>
      <c r="AT45" s="119">
        <v>2380</v>
      </c>
      <c r="AU45" s="119">
        <v>0</v>
      </c>
      <c r="AV45" s="119">
        <v>17820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73999</v>
      </c>
      <c r="Q46" s="116">
        <f>P46</f>
        <v>73999</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36184</v>
      </c>
      <c r="AU46" s="119">
        <v>0</v>
      </c>
      <c r="AV46" s="119">
        <v>4026207</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370967</v>
      </c>
      <c r="Q47" s="116">
        <f>P47</f>
        <v>370967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15912</v>
      </c>
      <c r="AT47" s="119">
        <v>402187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-7</v>
      </c>
      <c r="Q49" s="116">
        <f>P49</f>
        <v>-7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8</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440</v>
      </c>
      <c r="Q50" s="116">
        <f>P50</f>
        <v>440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352</v>
      </c>
      <c r="AT50" s="119">
        <v>39</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373730</v>
      </c>
      <c r="Q51" s="116">
        <f>P51</f>
        <v>373730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245961</v>
      </c>
      <c r="AT51" s="119">
        <v>856313</v>
      </c>
      <c r="AU51" s="119">
        <v>0</v>
      </c>
      <c r="AV51" s="119">
        <v>70634977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2615</v>
      </c>
      <c r="Q53" s="116">
        <f>P53</f>
        <v>2615</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211</v>
      </c>
      <c r="AT53" s="119">
        <v>2653</v>
      </c>
      <c r="AU53" s="119">
        <v>0</v>
      </c>
      <c r="AV53" s="119">
        <v>249797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68899546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2063</v>
      </c>
      <c r="Q56" s="128">
        <f>P56</f>
        <v>2063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3146</v>
      </c>
      <c r="AT56" s="129">
        <v>19671</v>
      </c>
      <c r="AU56" s="129">
        <v>0</v>
      </c>
      <c r="AV56" s="129">
        <v>340792</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3974</v>
      </c>
      <c r="Q57" s="131">
        <f>P57</f>
        <v>3974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3244</v>
      </c>
      <c r="AT57" s="132">
        <v>41597</v>
      </c>
      <c r="AU57" s="132">
        <v>0</v>
      </c>
      <c r="AV57" s="132">
        <v>755607</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11</v>
      </c>
      <c r="Q58" s="131">
        <f>P58</f>
        <v>11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1</v>
      </c>
      <c r="AT58" s="132">
        <v>13</v>
      </c>
      <c r="AU58" s="132">
        <v>0</v>
      </c>
      <c r="AV58" s="132">
        <v>37</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46748</v>
      </c>
      <c r="Q59" s="131">
        <v>46748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37519</v>
      </c>
      <c r="AT59" s="132">
        <v>471226</v>
      </c>
      <c r="AU59" s="132">
        <v>0</v>
      </c>
      <c r="AV59" s="132">
        <v>8900799</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3895.6666666666665</v>
      </c>
      <c r="Q60" s="134">
        <f>Q59/12</f>
        <v>3895.6666666666665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3126.5833333333335</v>
      </c>
      <c r="AT60" s="135">
        <f>AT59/12</f>
        <v>39268.833333333336</v>
      </c>
      <c r="AU60" s="135">
        <f>AU59/12</f>
        <v>0</v>
      </c>
      <c r="AV60" s="135">
        <f>AV59/12</f>
        <v>741733.25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1553389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605517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3750</v>
      </c>
      <c r="E5" s="124">
        <v>0</v>
      </c>
      <c r="F5" s="124"/>
      <c r="G5" s="136"/>
      <c r="H5" s="136"/>
      <c r="I5" s="123">
        <v>0</v>
      </c>
      <c r="J5" s="123">
        <v>0</v>
      </c>
      <c r="K5" s="124">
        <v>0</v>
      </c>
      <c r="L5" s="124"/>
      <c r="M5" s="124"/>
      <c r="N5" s="124"/>
      <c r="O5" s="123">
        <v>0</v>
      </c>
      <c r="P5" s="123">
        <v>17442574</v>
      </c>
      <c r="Q5" s="124">
        <v>17419968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4122010</v>
      </c>
      <c r="AT5" s="125">
        <v>19027453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49951</v>
      </c>
      <c r="Q6" s="116">
        <v>49951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12471</v>
      </c>
      <c r="AT6" s="119">
        <v>-309</v>
      </c>
      <c r="AU6" s="119">
        <v>0</v>
      </c>
      <c r="AV6" s="317"/>
      <c r="AW6" s="324"/>
    </row>
    <row r="7" spans="2:49" x14ac:dyDescent="0.2">
      <c r="B7" s="182" t="s">
        <v>280</v>
      </c>
      <c r="C7" s="139" t="s">
        <v>9</v>
      </c>
      <c r="D7" s="115">
        <v>3750</v>
      </c>
      <c r="E7" s="116"/>
      <c r="F7" s="116"/>
      <c r="G7" s="117"/>
      <c r="H7" s="117"/>
      <c r="I7" s="115"/>
      <c r="J7" s="115">
        <v>0</v>
      </c>
      <c r="K7" s="116"/>
      <c r="L7" s="116"/>
      <c r="M7" s="116"/>
      <c r="N7" s="116"/>
      <c r="O7" s="115"/>
      <c r="P7" s="115">
        <v>42463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13626</v>
      </c>
      <c r="AT7" s="119">
        <v>35901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754200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754200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1338306</v>
      </c>
      <c r="Q11" s="116">
        <f>Q42</f>
        <v>-332827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1671133</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-7656</v>
      </c>
      <c r="Q13" s="116">
        <v>-8081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128</v>
      </c>
      <c r="AT13" s="119">
        <v>120517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v>
      </c>
      <c r="E23" s="294"/>
      <c r="F23" s="294"/>
      <c r="G23" s="294"/>
      <c r="H23" s="294"/>
      <c r="I23" s="298"/>
      <c r="J23" s="115">
        <v>-5</v>
      </c>
      <c r="K23" s="294"/>
      <c r="L23" s="294"/>
      <c r="M23" s="294"/>
      <c r="N23" s="294"/>
      <c r="O23" s="298"/>
      <c r="P23" s="115">
        <v>10289531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4432007</v>
      </c>
      <c r="AT23" s="119">
        <v>13245111</v>
      </c>
      <c r="AU23" s="119">
        <v>0</v>
      </c>
      <c r="AV23" s="317"/>
      <c r="AW23" s="324"/>
    </row>
    <row r="24" spans="2:49" ht="28.5" customHeight="1" x14ac:dyDescent="0.2">
      <c r="B24" s="184" t="s">
        <v>114</v>
      </c>
      <c r="C24" s="139"/>
      <c r="D24" s="299"/>
      <c r="E24" s="116">
        <v>-5</v>
      </c>
      <c r="F24" s="116"/>
      <c r="G24" s="116"/>
      <c r="H24" s="116"/>
      <c r="I24" s="115">
        <v>0</v>
      </c>
      <c r="J24" s="299"/>
      <c r="K24" s="116">
        <v>-5</v>
      </c>
      <c r="L24" s="116"/>
      <c r="M24" s="116"/>
      <c r="N24" s="116"/>
      <c r="O24" s="115">
        <v>0</v>
      </c>
      <c r="P24" s="299"/>
      <c r="Q24" s="116">
        <v>10083989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5095846</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202852</v>
      </c>
      <c r="AT26" s="119">
        <v>1573045</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1029115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1633</v>
      </c>
      <c r="E28" s="295"/>
      <c r="F28" s="295"/>
      <c r="G28" s="295"/>
      <c r="H28" s="295"/>
      <c r="I28" s="299"/>
      <c r="J28" s="115">
        <v>0</v>
      </c>
      <c r="K28" s="295"/>
      <c r="L28" s="295"/>
      <c r="M28" s="295"/>
      <c r="N28" s="295"/>
      <c r="O28" s="299"/>
      <c r="P28" s="115">
        <v>3656122</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1452975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22427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22427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v>
      </c>
      <c r="E36" s="116">
        <f>D36</f>
        <v>10</v>
      </c>
      <c r="F36" s="116"/>
      <c r="G36" s="116"/>
      <c r="H36" s="116"/>
      <c r="I36" s="115">
        <v>0</v>
      </c>
      <c r="J36" s="115">
        <v>0</v>
      </c>
      <c r="K36" s="116">
        <f>J36</f>
        <v>0</v>
      </c>
      <c r="L36" s="116"/>
      <c r="M36" s="116"/>
      <c r="N36" s="116"/>
      <c r="O36" s="115">
        <v>0</v>
      </c>
      <c r="P36" s="115">
        <v>19156</v>
      </c>
      <c r="Q36" s="116">
        <f>P36</f>
        <v>19156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754200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754200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1338306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-332827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1671133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2436</v>
      </c>
      <c r="Q45" s="116">
        <v>1732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180594</v>
      </c>
      <c r="Q49" s="116">
        <v>50013</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678718</v>
      </c>
      <c r="AT49" s="119">
        <v>0</v>
      </c>
      <c r="AU49" s="119">
        <v>0</v>
      </c>
      <c r="AV49" s="317"/>
      <c r="AW49" s="324"/>
    </row>
    <row r="50" spans="2:49" x14ac:dyDescent="0.2">
      <c r="B50" s="182" t="s">
        <v>119</v>
      </c>
      <c r="C50" s="139" t="s">
        <v>34</v>
      </c>
      <c r="D50" s="115">
        <v>5</v>
      </c>
      <c r="E50" s="295"/>
      <c r="F50" s="295"/>
      <c r="G50" s="295"/>
      <c r="H50" s="295"/>
      <c r="I50" s="299"/>
      <c r="J50" s="115">
        <v>0</v>
      </c>
      <c r="K50" s="295"/>
      <c r="L50" s="295"/>
      <c r="M50" s="295"/>
      <c r="N50" s="295"/>
      <c r="O50" s="299"/>
      <c r="P50" s="115">
        <v>114918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-2363</v>
      </c>
      <c r="E54" s="121">
        <f>E24+E27+E31+E35-E36+E39+E42+E45+E46-E49+E51+E52+E53</f>
        <v>-735</v>
      </c>
      <c r="F54" s="121"/>
      <c r="G54" s="121"/>
      <c r="H54" s="121"/>
      <c r="I54" s="120">
        <f>I24+I27+I31+I35-I36+I39+I42+I45+I46-I49+I51+I52+I53</f>
        <v>0</v>
      </c>
      <c r="J54" s="120">
        <f>J23+J26-J28+J30-J32+J34-J36+J38+J41-J43+J45+J46-J47-J49+J50+J51+J52+J53</f>
        <v>-5</v>
      </c>
      <c r="K54" s="121">
        <f>K24+K27+K31+K35-K36+K39+K42+K45+K46-K49+K51+K52+K53</f>
        <v>-5</v>
      </c>
      <c r="L54" s="121"/>
      <c r="M54" s="121"/>
      <c r="N54" s="121"/>
      <c r="O54" s="120">
        <f>O24+O27+O31+O35-O36+O39+O42+O45+O46-O49+O51+O52+O53</f>
        <v>0</v>
      </c>
      <c r="P54" s="120">
        <f>P23+P26-P28+P30-P32+P34-P36+P38+P41-P43+P45+P46-P47-P49+P50+P51+P52+P53</f>
        <v>12090659</v>
      </c>
      <c r="Q54" s="121">
        <f>Q24+Q27+Q31+Q35-Q36+Q39+Q42+Q45+Q46-Q49+Q51+Q52+Q53</f>
        <v>11489467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3956141</v>
      </c>
      <c r="AT54" s="122">
        <f>AT23+AT26-AT28+AT30-AT32+AT34-AT36+AT38+AT41-AT43+AT45+AT46-AT47-AT49+AT50+AT51+AT52+AT53</f>
        <v>13365181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-0.57999999999999996</v>
      </c>
      <c r="D5" s="124">
        <v>3718</v>
      </c>
      <c r="E5" s="352"/>
      <c r="F5" s="352"/>
      <c r="G5" s="318"/>
      <c r="H5" s="123">
        <v>0</v>
      </c>
      <c r="I5" s="124">
        <v>0</v>
      </c>
      <c r="J5" s="352"/>
      <c r="K5" s="352"/>
      <c r="L5" s="318"/>
      <c r="M5" s="123">
        <v>1145903.6100000001</v>
      </c>
      <c r="N5" s="124">
        <v>9259586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82</v>
      </c>
      <c r="D6" s="116">
        <v>3441</v>
      </c>
      <c r="E6" s="121">
        <f>SUM('Pt 1 Summary of Data'!E$12,'Pt 1 Summary of Data'!E$22)+SUM('Pt 1 Summary of Data'!G$12,'Pt 1 Summary of Data'!G$22)-SUM('Pt 1 Summary of Data'!H$12,'Pt 1 Summary of Data'!H$22)</f>
        <v>-735</v>
      </c>
      <c r="F6" s="121">
        <f>SUM(C6:E6)</f>
        <v>2788</v>
      </c>
      <c r="G6" s="122">
        <f>'Pt 1 Summary of Data'!I12+'Pt 1 Summary of Data'!I22</f>
        <v>0</v>
      </c>
      <c r="H6" s="115">
        <v>0</v>
      </c>
      <c r="I6" s="116">
        <v>0</v>
      </c>
      <c r="J6" s="121">
        <f>'Pt 1 Summary of Data'!K12+'Pt 1 Summary of Data'!K22</f>
        <v>-5</v>
      </c>
      <c r="K6" s="121">
        <f>SUM(H6:J6)</f>
        <v>-5</v>
      </c>
      <c r="L6" s="122">
        <f>'Pt 1 Summary of Data'!O12+'Pt 1 Summary of Data'!O22</f>
        <v>0</v>
      </c>
      <c r="M6" s="115">
        <v>1196689</v>
      </c>
      <c r="N6" s="116">
        <v>8895040</v>
      </c>
      <c r="O6" s="121">
        <f>'Pt 1 Summary of Data'!Q12+'Pt 1 Summary of Data'!Q22</f>
        <v>11489467</v>
      </c>
      <c r="P6" s="121">
        <f>SUM(M6:O6)</f>
        <v>21581196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20</v>
      </c>
      <c r="E7" s="121">
        <f>SUM('Pt 1 Summary of Data'!E37:E41)+MAX(0,MIN('Pt 1 Summary of Data'!E42,0.3%*('Pt 1 Summary of Data'!E5-SUM(E9:E11))))</f>
        <v>0</v>
      </c>
      <c r="F7" s="121">
        <f>SUM(C7:E7)</f>
        <v>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14821</v>
      </c>
      <c r="N7" s="116">
        <v>60461</v>
      </c>
      <c r="O7" s="121">
        <f>SUM('Pt 1 Summary of Data'!Q37:Q41)+MAX(0,MIN('Pt 1 Summary of Data'!Q42,0.3%*('Pt 1 Summary of Data'!Q5)))</f>
        <v>35702</v>
      </c>
      <c r="P7" s="121">
        <f>SUM(M7:O7)</f>
        <v>110984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82</v>
      </c>
      <c r="D12" s="121">
        <f>SUM(D$6:D$7)+IF(AND(OR('Company Information'!$C$12="District of Columbia",'Company Information'!$C$12="Massachusetts",'Company Information'!$C$12="Vermont"),SUM($C$6:$F$11,$C$15:$F$16,$C$37:$D$37)&lt;&gt;0),SUM(I$6:I$7),0)</f>
        <v>3461</v>
      </c>
      <c r="E12" s="121">
        <f>SUM(E$6:E$7)-SUM(E$8:E$11)+IF(AND(OR('Company Information'!$C$12="District of Columbia",'Company Information'!$C$12="Massachusetts",'Company Information'!$C$12="Vermont"),SUM($C$6:$F$11,$C$15:$F$16,$C$37:$D$37)&lt;&gt;0),SUM(J$6:J$7)-SUM(J$10:J$11),0)</f>
        <v>-735</v>
      </c>
      <c r="F12" s="121">
        <f>IFERROR(SUM(C$12:E$12)+C$17*MAX(0,E$49-C$49)+D$17*MAX(0,E$49-D$49),0)</f>
        <v>2808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-5</v>
      </c>
      <c r="K12" s="121">
        <f>IFERROR(SUM(H$12:J$12)+H$17*MAX(0,J$49-H$49)+I$17*MAX(0,J$49-I$49),0)</f>
        <v>-5</v>
      </c>
      <c r="L12" s="317"/>
      <c r="M12" s="120">
        <f>SUM(M$6:M$7)</f>
        <v>1211510</v>
      </c>
      <c r="N12" s="121">
        <f>SUM(N$6:N$7)</f>
        <v>8955501</v>
      </c>
      <c r="O12" s="121">
        <f>SUM(O$6:O$7)</f>
        <v>11525169</v>
      </c>
      <c r="P12" s="121">
        <f>SUM(M$12:O$12)+M$17*MAX(0,O$49-M$49)+N$17*MAX(0,O$49-N$49)</f>
        <v>21692180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15238</v>
      </c>
      <c r="E15" s="112">
        <f>SUM('Pt 1 Summary of Data'!E$5:E$7)+SUM('Pt 1 Summary of Data'!G$5:G$7)-SUM('Pt 1 Summary of Data'!H$5:H$7)-SUM(E$9:E$11)+D$55</f>
        <v>0</v>
      </c>
      <c r="F15" s="112">
        <f>SUM(C15:E15)</f>
        <v>15238</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1830986</v>
      </c>
      <c r="N15" s="124">
        <v>12552049</v>
      </c>
      <c r="O15" s="112">
        <f>SUM('Pt 1 Summary of Data'!Q5:Q7)+N55</f>
        <v>17567036</v>
      </c>
      <c r="P15" s="112">
        <f>SUM(M15:O15)</f>
        <v>31950071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3663</v>
      </c>
      <c r="E16" s="121">
        <f>'Pt 1 Summary of Data'!E25+'Pt 1 Summary of Data'!E26+'Pt 1 Summary of Data'!E27+'Pt 1 Summary of Data'!E28+'Pt 1 Summary of Data'!E30+'Pt 1 Summary of Data'!E31+'Pt 1 Summary of Data'!E34+'Pt 1 Summary of Data'!E35+'Pt 3 MLR and Rebate Calculation'!D56</f>
        <v>929</v>
      </c>
      <c r="F16" s="121">
        <f>SUM(C16:E16)</f>
        <v>4592</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2</v>
      </c>
      <c r="K16" s="121">
        <f>SUM(H16:J16)</f>
        <v>2</v>
      </c>
      <c r="L16" s="122">
        <f>'Pt 1 Summary of Data'!O25+'Pt 1 Summary of Data'!O26+'Pt 1 Summary of Data'!O27+'Pt 1 Summary of Data'!O28+'Pt 1 Summary of Data'!O30+'Pt 1 Summary of Data'!O31+'Pt 1 Summary of Data'!O34+'Pt 1 Summary of Data'!O35</f>
        <v>0</v>
      </c>
      <c r="M16" s="115">
        <v>122892</v>
      </c>
      <c r="N16" s="116">
        <v>911919</v>
      </c>
      <c r="O16" s="121">
        <f>'Pt 1 Summary of Data'!Q25+'Pt 1 Summary of Data'!Q26+'Pt 1 Summary of Data'!Q27+'Pt 1 Summary of Data'!Q28+'Pt 1 Summary of Data'!Q30+'Pt 1 Summary of Data'!Q31+'Pt 1 Summary of Data'!Q34+'Pt 1 Summary of Data'!Q35+'Pt 3 MLR and Rebate Calculation'!N56</f>
        <v>2400735</v>
      </c>
      <c r="P16" s="121">
        <f>SUM(M16:O16)</f>
        <v>3435546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11575</v>
      </c>
      <c r="E17" s="121">
        <f>E$15-E$16+IF(AND(OR('Company Information'!$C$12="District of Columbia",'Company Information'!$C$12="Massachusetts",'Company Information'!$C$12="Vermont"),SUM($C$6:$F$11,$C$15:$F$16,$C$37:$D$37)&lt;&gt;0),J$15-J$16,0)</f>
        <v>-929</v>
      </c>
      <c r="F17" s="121">
        <f>F$15-F$16+IF(AND(OR('Company Information'!$C$12="District of Columbia",'Company Information'!$C$12="Massachusetts",'Company Information'!$C$12="Vermont"),SUM($C$6:$F$11,$C$15:$F$16,$C$37:$D$37)&lt;&gt;0),K$15-K$16,0)</f>
        <v>10646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-2</v>
      </c>
      <c r="K17" s="121">
        <f>K$15-K$16+IF(AND(OR('Company Information'!$C$12="District of Columbia",'Company Information'!$C$12="Massachusetts",'Company Information'!$C$12="Vermont"),SUM($H$6:$K$11,$H$15:$K$16,$H$37:$I$37)&lt;&gt;0),F$15-F$16,0)</f>
        <v>-2</v>
      </c>
      <c r="L17" s="320"/>
      <c r="M17" s="120">
        <f>M$15-M$16</f>
        <v>1708094</v>
      </c>
      <c r="N17" s="121">
        <f>N$15-N$16</f>
        <v>11640130</v>
      </c>
      <c r="O17" s="121">
        <f>O$15-O$16</f>
        <v>15166301</v>
      </c>
      <c r="P17" s="121">
        <f>P$15-P$16</f>
        <v>28514525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0</v>
      </c>
      <c r="J37" s="262">
        <f>'Pt 1 Summary of Data'!K60</f>
        <v>0</v>
      </c>
      <c r="K37" s="262">
        <f>SUM(H37:J37)</f>
        <v>0</v>
      </c>
      <c r="L37" s="318"/>
      <c r="M37" s="127">
        <v>573</v>
      </c>
      <c r="N37" s="128">
        <v>2714</v>
      </c>
      <c r="O37" s="262">
        <f>'Pt 1 Summary of Data'!Q60</f>
        <v>3895.6666666666665</v>
      </c>
      <c r="P37" s="262">
        <f>SUM(M37:O37)</f>
        <v>7182.6666666666661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3.219813333333333E-2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3.219813333333333E-2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0.76936434558720568</v>
      </c>
      <c r="O44" s="266">
        <f>IF(OR(O$37&lt;1000,O$17&lt;=0),"",O$12/O$17)</f>
        <v>0.75991957432468205</v>
      </c>
      <c r="P44" s="266">
        <f>IF(OR(P$37&lt;1000,P$17&lt;=0),"",P$12/P$17)</f>
        <v>0.76074141161390552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3.219813333333333E-2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0.79300000000000004</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0.79300000000000004</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15166301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864479.15699999908</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109444</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39904</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2063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10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864479.15699999908</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864479</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162962</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