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I12" i="10"/>
  <c r="K6" i="10"/>
  <c r="J12" i="10"/>
  <c r="O12" i="10"/>
  <c r="P12" i="10" s="1"/>
  <c r="P6" i="10"/>
  <c r="U17" i="10"/>
  <c r="U13" i="10"/>
  <c r="X6" i="10"/>
  <c r="W38" i="10" s="1"/>
  <c r="E7" i="10"/>
  <c r="F7" i="10" s="1"/>
  <c r="E15" i="10"/>
  <c r="G15" i="10"/>
  <c r="K15" i="10"/>
  <c r="J17" i="10"/>
  <c r="P15" i="10"/>
  <c r="P17" i="10" s="1"/>
  <c r="O17" i="10"/>
  <c r="O45" i="10" s="1"/>
  <c r="X15" i="10"/>
  <c r="W17" i="10"/>
  <c r="G58" i="10"/>
  <c r="L15" i="10"/>
  <c r="L19" i="10" s="1"/>
  <c r="T6" i="10"/>
  <c r="AB13" i="10"/>
  <c r="AA13" i="10"/>
  <c r="AB38" i="10"/>
  <c r="J7" i="10"/>
  <c r="K7" i="10" s="1"/>
  <c r="O7" i="10"/>
  <c r="P7" i="10" s="1"/>
  <c r="S15" i="10"/>
  <c r="W7" i="10"/>
  <c r="X7" i="10" s="1"/>
  <c r="AA15" i="10"/>
  <c r="P38" i="10"/>
  <c r="G7" i="10"/>
  <c r="S38" i="10" l="1"/>
  <c r="W46" i="10"/>
  <c r="X38" i="10"/>
  <c r="P53" i="10"/>
  <c r="E11" i="16" s="1"/>
  <c r="P39" i="10"/>
  <c r="P52" i="10"/>
  <c r="P45" i="10"/>
  <c r="P42" i="10"/>
  <c r="Q17" i="10"/>
  <c r="X13" i="10"/>
  <c r="U46" i="10"/>
  <c r="C17" i="10"/>
  <c r="X17" i="10"/>
  <c r="K17" i="10"/>
  <c r="V17" i="10"/>
  <c r="V46" i="10" s="1"/>
  <c r="H12" i="10"/>
  <c r="H17" i="10"/>
  <c r="D17" i="10"/>
  <c r="D45" i="10" s="1"/>
  <c r="S17" i="10"/>
  <c r="T15" i="10"/>
  <c r="T17" i="10" s="1"/>
  <c r="Q13" i="10"/>
  <c r="AA17" i="10"/>
  <c r="AA46" i="10" s="1"/>
  <c r="AB15" i="10"/>
  <c r="AB17" i="10" s="1"/>
  <c r="AB46" i="10" s="1"/>
  <c r="R13" i="10"/>
  <c r="L32" i="10"/>
  <c r="L27" i="10"/>
  <c r="L23" i="10"/>
  <c r="L24" i="10"/>
  <c r="G27" i="10"/>
  <c r="G23" i="10"/>
  <c r="G32" i="10"/>
  <c r="G24" i="10"/>
  <c r="W13" i="10"/>
  <c r="J38" i="10"/>
  <c r="G20" i="10"/>
  <c r="L20" i="10"/>
  <c r="AB42" i="10"/>
  <c r="AB53" i="10"/>
  <c r="H11" i="16" s="1"/>
  <c r="AB39" i="10"/>
  <c r="AB52" i="10"/>
  <c r="R17" i="10"/>
  <c r="R46" i="10" s="1"/>
  <c r="G19" i="10"/>
  <c r="E17" i="10"/>
  <c r="F15" i="10"/>
  <c r="F17" i="10" s="1"/>
  <c r="V13" i="10"/>
  <c r="I17" i="10"/>
  <c r="I45" i="10" s="1"/>
  <c r="C12" i="10"/>
  <c r="AB48" i="10" l="1"/>
  <c r="AB51" i="10" s="1"/>
  <c r="AB47" i="10"/>
  <c r="P47" i="10"/>
  <c r="P48" i="10"/>
  <c r="P51" i="10" s="1"/>
  <c r="X53" i="10"/>
  <c r="G11" i="16" s="1"/>
  <c r="X39" i="10"/>
  <c r="X52" i="10"/>
  <c r="X46" i="10"/>
  <c r="X42" i="10"/>
  <c r="J45" i="10"/>
  <c r="K38" i="10"/>
  <c r="H45" i="10"/>
  <c r="K12" i="10"/>
  <c r="G22" i="10"/>
  <c r="L22" i="10"/>
  <c r="C45" i="10"/>
  <c r="Q46" i="10"/>
  <c r="T13" i="10"/>
  <c r="S46" i="10"/>
  <c r="T38" i="10"/>
  <c r="E38" i="10"/>
  <c r="D12" i="10"/>
  <c r="E12" i="10"/>
  <c r="F12" i="10" s="1"/>
  <c r="S13" i="10"/>
  <c r="L21" i="10" l="1"/>
  <c r="L26" i="10" s="1"/>
  <c r="L25" i="10" s="1"/>
  <c r="L28" i="10" s="1"/>
  <c r="L30" i="10"/>
  <c r="L31" i="10" s="1"/>
  <c r="L29" i="10" s="1"/>
  <c r="L33" i="10" s="1"/>
  <c r="L34" i="10" s="1"/>
  <c r="E45" i="10"/>
  <c r="F38" i="10"/>
  <c r="G21" i="10"/>
  <c r="G26" i="10" s="1"/>
  <c r="G25" i="10" s="1"/>
  <c r="G28" i="10" s="1"/>
  <c r="G30" i="10"/>
  <c r="G31" i="10" s="1"/>
  <c r="G29" i="10" s="1"/>
  <c r="G33" i="10" s="1"/>
  <c r="G34" i="10" s="1"/>
  <c r="X47" i="10"/>
  <c r="X48" i="10"/>
  <c r="X51" i="10" s="1"/>
  <c r="T42" i="10"/>
  <c r="T53" i="10"/>
  <c r="F11" i="16" s="1"/>
  <c r="T39" i="10"/>
  <c r="T52" i="10"/>
  <c r="T46" i="10"/>
  <c r="K53" i="10"/>
  <c r="D11" i="16" s="1"/>
  <c r="K39" i="10"/>
  <c r="K42" i="10"/>
  <c r="K52" i="10"/>
  <c r="K45" i="10"/>
  <c r="F42" i="10" l="1"/>
  <c r="F53" i="10"/>
  <c r="C11" i="16" s="1"/>
  <c r="F39" i="10"/>
  <c r="F45" i="10"/>
  <c r="F52" i="10"/>
  <c r="K47" i="10"/>
  <c r="K48" i="10"/>
  <c r="K51" i="10" s="1"/>
  <c r="T48" i="10"/>
  <c r="T51" i="10" s="1"/>
  <c r="T47" i="10"/>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<sst xmlns="http://schemas.openxmlformats.org/spreadsheetml/2006/main" count="570" uniqueCount="508">
  <si>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</si>
  <si>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</si>
  <si>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</si>
  <si>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</si>
  <si>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</si>
  <si>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</si>
  <si>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</si>
  <si>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</si>
  <si>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</si>
  <si>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</si>
  <si>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</si>
  <si>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</si>
  <si>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</si>
  <si>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</si>
  <si>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</si>
  <si>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</si>
  <si>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</si>
  <si>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</si>
  <si>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</si>
  <si>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</si>
  <si>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</si>
  <si>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</si>
  <si>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</si>
  <si>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</si>
  <si>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</si>
  <si>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</si>
  <si>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</si>
  <si>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</si>
  <si>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</si>
  <si>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</si>
  <si>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</si>
  <si>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</si>
  <si>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</si>
  <si>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</si>
  <si>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</si>
  <si>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</si>
  <si>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</si>
  <si>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</si>
  <si>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</si>
  <si>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</si>
  <si>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</si>
  <si>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</si>
  <si>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</si>
  <si>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</si>
  <si>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</si>
  <si>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</si>
  <si>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</si>
  <si>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</si>
  <si>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</si>
  <si>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</si>
  <si>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</si>
  <si>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</si>
  <si>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</si>
  <si>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</si>
  <si>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</si>
  <si>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</si>
  <si>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</si>
  <si>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</si>
  <si>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</si>
  <si>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</si>
  <si>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</si>
  <si>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</si>
  <si>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</si>
  <si>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</si>
  <si>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</si>
  <si>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</si>
  <si>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</si>
  <si>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</si>
  <si>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</si>
  <si>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</si>
  <si>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</si>
  <si>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</si>
  <si>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</si>
  <si>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</si>
  <si>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</si>
  <si>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</si>
  <si>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</si>
  <si>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</si>
  <si>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</si>
  <si>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</si>
  <si>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</si>
  <si>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</si>
  <si>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</si>
  <si>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</si>
  <si>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</si>
  <si>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</si>
  <si>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</si>
  <si>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</si>
  <si>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</si>
  <si>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</si>
  <si>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</si>
  <si>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</si>
  <si>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</si>
  <si>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</si>
  <si>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</si>
  <si>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</si>
  <si>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</si>
  <si>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</si>
  <si>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</si>
  <si>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</si>
  <si>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</si>
  <si>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</si>
  <si>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</si>
  <si>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</si>
  <si>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</si>
  <si>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</si>
  <si>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</si>
  <si>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</si>
  <si>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</si>
  <si>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</si>
  <si>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</si>
  <si>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</si>
  <si>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</si>
  <si>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</si>
  <si>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</si>
  <si>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</si>
  <si>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</si>
  <si>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</si>
  <si>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</si>
  <si>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</si>
  <si>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</si>
  <si>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</si>
  <si>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</si>
  <si>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</si>
  <si>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</si>
  <si>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</si>
  <si>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</si>
  <si>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</si>
  <si>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</si>
  <si>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</si>
  <si>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</si>
  <si>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</si>
  <si>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</si>
  <si>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</si>
  <si>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</si>
  <si>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</si>
  <si>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</si>
  <si>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</si>
  <si>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</si>
  <si>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</si>
  <si>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</si>
  <si>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</si>
  <si>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</si>
  <si>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</si>
  <si>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</si>
  <si>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</si>
  <si>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</si>
  <si>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</si>
  <si>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</si>
  <si>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</si>
  <si>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</si>
  <si>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</si>
  <si>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</si>
  <si>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</si>
  <si>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</si>
  <si>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</si>
  <si>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</si>
  <si>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</si>
  <si>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</si>
  <si>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</si>
  <si>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</si>
  <si>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</si>
  <si>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</si>
  <si>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</si>
  <si>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</si>
  <si>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</si>
  <si>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</si>
  <si>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</si>
  <si>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</si>
  <si>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</si>
  <si>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</si>
  <si>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</si>
  <si>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</si>
  <si>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</si>
  <si>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</si>
  <si>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</si>
  <si>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</si>
  <si>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</si>
  <si>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</si>
  <si>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</si>
  <si>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</si>
  <si>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</si>
  <si>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</si>
  <si>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</si>
  <si>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</si>
  <si>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</si>
  <si>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</si>
  <si>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</si>
  <si>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</si>
  <si>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</si>
  <si>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</si>
  <si>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</si>
  <si>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</si>
  <si>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</si>
  <si>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</si>
  <si>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</si>
  <si>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</si>
  <si>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</si>
  <si>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</si>
  <si>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</si>
  <si>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</si>
  <si>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</si>
  <si>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</si>
  <si>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</si>
  <si>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</si>
  <si>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</si>
  <si>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</si>
  <si>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</si>
  <si>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</si>
  <si>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</si>
  <si>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</si>
  <si>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</si>
  <si>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</si>
  <si>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</si>
  <si>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</si>
  <si>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</si>
  <si>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</si>
  <si>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</si>
  <si>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</si>
  <si>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</si>
  <si>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</si>
  <si>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</si>
  <si>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</si>
  <si>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</si>
  <si>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</si>
  <si>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</si>
  <si>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</si>
  <si>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</si>
  <si>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</si>
  <si>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</si>
  <si>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</si>
  <si>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</si>
  <si>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</si>
  <si>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</si>
  <si>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</si>
  <si>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</si>
  <si>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</si>
  <si>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</si>
  <si>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</si>
  <si>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</si>
  <si>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</si>
  <si>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</si>
  <si>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</si>
  <si>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</si>
  <si>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</si>
  <si>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</si>
  <si>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</si>
  <si>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</si>
  <si>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</si>
  <si>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</si>
  <si>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</si>
  <si>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</si>
  <si>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</si>
  <si>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</si>
  <si>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</si>
  <si>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</si>
  <si>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</si>
  <si>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</si>
  <si>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</si>
  <si>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</si>
  <si>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</si>
  <si>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</si>
  <si>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</si>
  <si>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</si>
  <si>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</si>
  <si>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</si>
  <si>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</si>
  <si>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</si>
  <si>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</si>
  <si>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</si>
  <si>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</si>
  <si>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</si>
  <si>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</si>
  <si>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</si>
  <si>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</si>
  <si>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</si>
  <si>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</si>
  <si>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</si>
  <si>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</si>
  <si>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</si>
  <si>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</si>
  <si>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</si>
  <si>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</si>
  <si>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</si>
  <si>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</si>
  <si>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</si>
  <si>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</si>
  <si>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</si>
  <si>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</si>
  <si>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</si>
  <si>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</si>
  <si>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</si>
  <si>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</si>
  <si>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</si>
  <si>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</si>
  <si>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</si>
  <si>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</si>
  <si>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</si>
  <si>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</si>
  <si>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</si>
  <si>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</si>
  <si>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</si>
  <si>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</si>
  <si>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</si>
  <si>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</si>
  <si>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</si>
  <si>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</si>
  <si>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</si>
  <si>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</si>
  <si>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</si>
  <si>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</si>
  <si>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</si>
  <si>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</si>
  <si>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</si>
  <si>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</si>
  <si>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</si>
  <si>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</si>
  <si>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</si>
  <si>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</si>
  <si>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</si>
  <si>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</si>
  <si>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</si>
  <si>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</si>
  <si>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</si>
  <si>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</si>
  <si>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</si>
  <si>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</si>
  <si>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</si>
  <si>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</si>
  <si>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</si>
  <si>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</si>
  <si>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</si>
  <si>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</si>
  <si>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</si>
  <si>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</si>
  <si>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</si>
  <si>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</si>
  <si>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</si>
  <si>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</si>
  <si>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</si>
  <si>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</si>
  <si>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</si>
  <si>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</si>
  <si>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</si>
  <si>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</si>
  <si>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</si>
  <si>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</si>
  <si>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</si>
  <si>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</si>
  <si>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</si>
  <si>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</si>
  <si>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</si>
  <si>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</si>
  <si>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</si>
  <si>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</si>
  <si>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</si>
  <si>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</si>
  <si>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</si>
  <si>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</si>
  <si>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</si>
  <si>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</si>
  <si>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</si>
  <si>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</si>
  <si>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</si>
  <si>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</si>
  <si>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</si>
  <si>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</si>
  <si>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</si>
  <si>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</si>
  <si>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</si>
  <si>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</si>
  <si>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</si>
  <si>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</si>
  <si>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</si>
  <si>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</si>
  <si>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</si>
  <si>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</si>
  <si>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</si>
  <si>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</si>
  <si>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</si>
  <si>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</si>
  <si>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</si>
  <si>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</si>
  <si>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</si>
  <si>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</si>
  <si>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</si>
  <si>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</si>
  <si>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</si>
  <si>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</si>
  <si>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</si>
  <si>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</si>
  <si>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</si>
  <si>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</si>
  <si>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</si>
  <si>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</si>
  <si>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</si>
  <si>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</si>
  <si>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</si>
  <si>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</si>
  <si>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</si>
  <si>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</si>
  <si>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</si>
  <si>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</si>
  <si>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</si>
  <si>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</si>
  <si>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</si>
  <si>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</si>
  <si>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</si>
  <si>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</si>
  <si>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</si>
  <si>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</si>
  <si>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</si>
  <si>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</si>
  <si>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</si>
  <si>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</si>
  <si>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</si>
  <si>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</si>
  <si>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</si>
  <si>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</si>
  <si>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</si>
  <si>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</si>
  <si>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</si>
  <si>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</si>
  <si>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</si>
  <si>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</si>
  <si>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</si>
  <si>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</si>
  <si>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</si>
  <si>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</si>
  <si>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</si>
  <si>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</si>
  <si>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</si>
  <si>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</si>
  <si>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</si>
  <si>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</si>
  <si>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</si>
  <si>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</si>
  <si>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</si>
  <si>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</si>
  <si>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</si>
  <si>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</si>
  <si>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</si>
  <si>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</si>
  <si>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</si>
  <si>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</si>
  <si>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</si>
  <si>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</si>
  <si>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</si>
  <si>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</si>
  <si>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</si>
  <si>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</si>
  <si>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</si>
  <si>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</si>
  <si>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</si>
  <si>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</si>
  <si>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</si>
  <si>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</si>
  <si>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</si>
  <si>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</si>
  <si>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</si>
  <si>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</si>
  <si>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</si>
  <si>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</si>
  <si>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</si>
  <si>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</si>
  <si>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</si>
  <si>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</si>
  <si>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</si>
  <si>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</si>
  <si>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</si>
  <si>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</si>
  <si>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</si>
  <si>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</si>
  <si>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</si>
  <si>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</si>
  <si>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</si>
  <si>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</si>
  <si>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</si>
  <si>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</si>
  <si>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</si>
  <si>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</si>
  <si>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</si>
  <si>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</si>
  <si>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</si>
  <si>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</si>
  <si>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</si>
  <si>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</si>
  <si>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</si>
  <si>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</si>
  <si>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</si>
  <si>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</si>
  <si>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</si>
  <si>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</si>
  <si>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</si>
  <si>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</si>
  <si>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</si>
  <si>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</si>
  <si>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</si>
  <si>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</si>
  <si>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</si>
  <si>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</si>
  <si>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</si>
  <si>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</si>
  <si>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</si>
  <si>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</si>
  <si>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20427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</si>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</sst>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27912</v>
      </c>
      <c r="Q5" s="219">
        <f>SUM('Pt 2 Premium and Claims'!Q$5,'Pt 2 Premium and Claims'!Q$6,-'Pt 2 Premium and Claims'!Q$7,-'Pt 2 Premium and Claims'!Q$13,'Pt 2 Premium and Claims'!Q$14)</f>
        <v>27912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136148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301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-173</v>
      </c>
      <c r="E12" s="219">
        <f>'Pt 2 Premium and Claims'!E$54</f>
        <v>-23</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35315</v>
      </c>
      <c r="Q12" s="219">
        <f>'Pt 2 Premium and Claims'!Q$54</f>
        <v>42349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60717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40614</v>
      </c>
      <c r="Q13" s="223">
        <v>40960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5440</v>
      </c>
      <c r="Q14" s="223">
        <v>6461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722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56</v>
      </c>
      <c r="E25" s="223">
        <v>56</v>
      </c>
      <c r="F25" s="223"/>
      <c r="G25" s="223"/>
      <c r="H25" s="223"/>
      <c r="I25" s="222">
        <v>0</v>
      </c>
      <c r="J25" s="222">
        <v>0</v>
      </c>
      <c r="K25" s="223">
        <v>0</v>
      </c>
      <c r="L25" s="223"/>
      <c r="M25" s="223"/>
      <c r="N25" s="223"/>
      <c r="O25" s="222"/>
      <c r="P25" s="222">
        <v>-3018</v>
      </c>
      <c r="Q25" s="223">
        <v>-3018</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19559</v>
      </c>
      <c r="AU25" s="226">
        <v>0</v>
      </c>
      <c r="AV25" s="226">
        <v>-369925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7</v>
      </c>
      <c r="Q26" s="223">
        <v>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303</v>
      </c>
      <c r="Q27" s="223">
        <v>303</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824</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42</v>
      </c>
      <c r="Q28" s="223">
        <v>42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117</v>
      </c>
      <c r="AU28" s="226">
        <v>0</v>
      </c>
      <c r="AV28" s="226">
        <v>37265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86</v>
      </c>
      <c r="Q30" s="223">
        <v>86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419</v>
      </c>
      <c r="AU30" s="226">
        <v>0</v>
      </c>
      <c r="AV30" s="226">
        <v>974</v>
      </c>
      <c r="AW30" s="303"/>
    </row>
    <row r="31" spans="1:49" x14ac:dyDescent="0.2">
      <c r="B31" s="248" t="s">
        <v>247</v>
      </c>
      <c r="C31" s="209"/>
      <c r="D31" s="222">
        <v>0</v>
      </c>
      <c r="E31" s="223">
        <v>0</v>
      </c>
      <c r="F31" s="223"/>
      <c r="G31" s="223"/>
      <c r="H31" s="223"/>
      <c r="I31" s="222">
        <v>0</v>
      </c>
      <c r="J31" s="222">
        <v>0</v>
      </c>
      <c r="K31" s="223">
        <v>0</v>
      </c>
      <c r="L31" s="223"/>
      <c r="M31" s="223"/>
      <c r="N31" s="223"/>
      <c r="O31" s="222"/>
      <c r="P31" s="222">
        <v>480</v>
      </c>
      <c r="Q31" s="223">
        <v>480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2341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132</v>
      </c>
      <c r="Q34" s="223">
        <v>132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v>
      </c>
      <c r="Q35" s="223">
        <v>-10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11</v>
      </c>
      <c r="Q37" s="231">
        <v>11</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39107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2</v>
      </c>
      <c r="Q38" s="223">
        <v>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5593</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v>
      </c>
      <c r="Q39" s="223">
        <v>-1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951</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v>
      </c>
      <c r="AU40" s="226">
        <v>0</v>
      </c>
      <c r="AV40" s="226">
        <v>6127</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5</v>
      </c>
      <c r="Q41" s="223">
        <v>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8</v>
      </c>
      <c r="AU41" s="226">
        <v>0</v>
      </c>
      <c r="AV41" s="226">
        <v>17372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v>
      </c>
      <c r="Q42" s="223">
        <v>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709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82</v>
      </c>
      <c r="Q44" s="231">
        <v>82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51</v>
      </c>
      <c r="AU44" s="232">
        <v>0</v>
      </c>
      <c r="AV44" s="232">
        <v>194451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v>
      </c>
      <c r="Q45" s="223">
        <v>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v>
      </c>
      <c r="AU45" s="226">
        <v>0</v>
      </c>
      <c r="AV45" s="226">
        <v>-169</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90</v>
      </c>
      <c r="Q46" s="223">
        <v>90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283</v>
      </c>
      <c r="AU46" s="226">
        <v>0</v>
      </c>
      <c r="AV46" s="226">
        <v>62289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621</v>
      </c>
      <c r="Q47" s="223">
        <v>621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8276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210</v>
      </c>
      <c r="Q51" s="223">
        <v>210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4126</v>
      </c>
      <c r="AU51" s="226">
        <v>0</v>
      </c>
      <c r="AV51" s="226">
        <v>1006006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v>
      </c>
      <c r="Q53" s="223">
        <v>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21</v>
      </c>
      <c r="AU53" s="226">
        <v>0</v>
      </c>
      <c r="AV53" s="226">
        <v>2088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234441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v>
      </c>
      <c r="Q56" s="235">
        <v>1</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163</v>
      </c>
      <c r="AU56" s="236">
        <v>0</v>
      </c>
      <c r="AV56" s="236">
        <v>32052</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3</v>
      </c>
      <c r="Q57" s="238">
        <v>3</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236</v>
      </c>
      <c r="AU57" s="239">
        <v>0</v>
      </c>
      <c r="AV57" s="239">
        <v>44760</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36</v>
      </c>
      <c r="Q59" s="238">
        <v>36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2071</v>
      </c>
      <c r="AU59" s="239">
        <v>0</v>
      </c>
      <c r="AV59" s="239">
        <v>133843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v>
      </c>
      <c r="Q60" s="241">
        <f>Q$59/12</f>
        <v>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172.58333333333334</v>
      </c>
      <c r="AU60" s="242">
        <f>AU$59/12</f>
        <v>0</v>
      </c>
      <c r="AV60" s="242">
        <f>AV$59/12</f>
        <v>11153.583333333334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7052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2324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-2367</v>
      </c>
      <c r="E5" s="332">
        <v>-2367</v>
      </c>
      <c r="F5" s="332"/>
      <c r="G5" s="334"/>
      <c r="H5" s="334"/>
      <c r="I5" s="331">
        <v>0</v>
      </c>
      <c r="J5" s="331">
        <v>0</v>
      </c>
      <c r="K5" s="332">
        <v>0</v>
      </c>
      <c r="L5" s="332"/>
      <c r="M5" s="332"/>
      <c r="N5" s="332"/>
      <c r="O5" s="331"/>
      <c r="P5" s="331">
        <v>21906</v>
      </c>
      <c r="Q5" s="332">
        <v>21906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136615</v>
      </c>
      <c r="AU5" s="333">
        <v>0</v>
      </c>
      <c r="AV5" s="375"/>
      <c r="AW5" s="379"/>
    </row>
    <row r="6" spans="2:49" x14ac:dyDescent="0.2">
      <c r="B6" s="349" t="s">
        <v>278</v>
      </c>
      <c r="C6" s="337" t="s">
        <v>8</v>
      </c>
      <c r="D6" s="324">
        <v>2367</v>
      </c>
      <c r="E6" s="325">
        <v>2367</v>
      </c>
      <c r="F6" s="325"/>
      <c r="G6" s="326"/>
      <c r="H6" s="326"/>
      <c r="I6" s="324">
        <v>0</v>
      </c>
      <c r="J6" s="324">
        <v>0</v>
      </c>
      <c r="K6" s="325">
        <v>0</v>
      </c>
      <c r="L6" s="325"/>
      <c r="M6" s="325"/>
      <c r="N6" s="325"/>
      <c r="O6" s="324"/>
      <c r="P6" s="324">
        <v>6006</v>
      </c>
      <c r="Q6" s="325">
        <v>6006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3262</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3729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42676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50712</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41982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2306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11410</v>
      </c>
      <c r="AU26" s="327">
        <v>0</v>
      </c>
      <c r="AV26" s="374"/>
      <c r="AW26" s="380"/>
    </row>
    <row r="27" spans="2:49" s="11" customFormat="1" ht="25.5" x14ac:dyDescent="0.2">
      <c r="B27" s="351" t="s">
        <v>85</v>
      </c>
      <c r="C27" s="337"/>
      <c r="D27" s="371"/>
      <c r="E27" s="325">
        <v>-21</v>
      </c>
      <c r="F27" s="325"/>
      <c r="G27" s="325"/>
      <c r="H27" s="325"/>
      <c r="I27" s="324">
        <v>0</v>
      </c>
      <c r="J27" s="371"/>
      <c r="K27" s="325">
        <v>0</v>
      </c>
      <c r="L27" s="325"/>
      <c r="M27" s="325"/>
      <c r="N27" s="325"/>
      <c r="O27" s="324"/>
      <c r="P27" s="371"/>
      <c r="Q27" s="325">
        <v>429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170</v>
      </c>
      <c r="E28" s="369"/>
      <c r="F28" s="369"/>
      <c r="G28" s="369"/>
      <c r="H28" s="369"/>
      <c r="I28" s="371"/>
      <c r="J28" s="324">
        <v>0</v>
      </c>
      <c r="K28" s="369"/>
      <c r="L28" s="369"/>
      <c r="M28" s="369"/>
      <c r="N28" s="369"/>
      <c r="O28" s="371"/>
      <c r="P28" s="324">
        <v>9381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1405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81</v>
      </c>
      <c r="Q36" s="325">
        <v>81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913</v>
      </c>
      <c r="Q49" s="325">
        <v>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687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-173</v>
      </c>
      <c r="E54" s="329">
        <f>E24+E27+E31+E35-E36+E39+E42+E45+E46-E49+E51+E52+E53</f>
        <v>-23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35315</v>
      </c>
      <c r="Q54" s="329">
        <f>Q24+Q27+Q31+Q35-Q36+Q39+Q42+Q45+Q46-Q49+Q51+Q52+Q53</f>
        <v>42349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60717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93384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696</v>
      </c>
      <c r="D6" s="404">
        <v>-716</v>
      </c>
      <c r="E6" s="406">
        <f>SUM('Pt 1 Summary of Data'!E$12,'Pt 1 Summary of Data'!E$22)+SUM('Pt 1 Summary of Data'!G$12,'Pt 1 Summary of Data'!G$22)-SUM('Pt 1 Summary of Data'!H$12,'Pt 1 Summary of Data'!H$22)</f>
        <v>-23</v>
      </c>
      <c r="F6" s="406">
        <f>SUM(C6:E6)</f>
        <v>-43</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181871</v>
      </c>
      <c r="N6" s="404">
        <v>29441</v>
      </c>
      <c r="O6" s="406">
        <f>SUM('Pt 1 Summary of Data'!Q$12,'Pt 1 Summary of Data'!Q$22)+SUM('Pt 1 Summary of Data'!S$12,'Pt 1 Summary of Data'!S$22)-SUM('Pt 1 Summary of Data'!T$12,'Pt 1 Summary of Data'!T$22)</f>
        <v>42349</v>
      </c>
      <c r="P6" s="406">
        <f>SUM(M6:O6)</f>
        <v>253661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6</v>
      </c>
      <c r="D7" s="404">
        <v>1</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7</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285</v>
      </c>
      <c r="N7" s="404">
        <v>117</v>
      </c>
      <c r="O7" s="406">
        <f>SUM('Pt 1 Summary of Data'!Q$37:Q$41)+SUM('Pt 1 Summary of Data'!S$37:S$41)-SUM('Pt 1 Summary of Data'!T$37:T$41)+MAX(0,MIN('Pt 1 Summary of Data'!Q$42+'Pt 1 Summary of Data'!S$42-'Pt 1 Summary of Data'!T$42,0.3%*('Pt 1 Summary of Data'!Q$5+'Pt 1 Summary of Data'!S$5-'Pt 1 Summary of Data'!T$5)))</f>
        <v>18</v>
      </c>
      <c r="P7" s="406">
        <f>SUM(M7:O7)</f>
        <v>420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702</v>
      </c>
      <c r="D12" s="406">
        <f>SUM(D$6:D$7) - SUM(D$8:D$11)+IF(AND(OR('Company Information'!$C$12="District of Columbia",'Company Information'!$C$12="Massachusetts",'Company Information'!$C$12="Vermont"),SUM($C$6:$F$11,$C$15:$F$16,$C$38:$D$38)&lt;&gt;0),SUM(I$6:I$7) - SUM(I$10:I$11),0)</f>
        <v>-715</v>
      </c>
      <c r="E12" s="406">
        <f>SUM(E$6:E$7)-SUM(E$8:E$11)+IF(AND(OR('Company Information'!$C$12="District of Columbia",'Company Information'!$C$12="Massachusetts",'Company Information'!$C$12="Vermont"),SUM($C$6:$F$11,$C$15:$F$16,$C$38:$D$38)&lt;&gt;0),SUM(J$6:J$7)-SUM(J$10:J$11),0)</f>
        <v>-23</v>
      </c>
      <c r="F12" s="406">
        <f>IFERROR(SUM(C$12:E$12)+C$17*MAX(0,E$50-C$50)+D$17*MAX(0,E$50-D$50),0)</f>
        <v>-36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182156</v>
      </c>
      <c r="N12" s="406">
        <f>SUM(N$6:N$7)</f>
        <v>29558</v>
      </c>
      <c r="O12" s="406">
        <f>SUM(O$6:O$7)</f>
        <v>42367</v>
      </c>
      <c r="P12" s="406">
        <f>SUM(M$12:O$12)+M$17*MAX(0,O$50-M$50)+N$17*MAX(0,O$50-N$50)</f>
        <v>254081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1158</v>
      </c>
      <c r="D15" s="409">
        <v>461</v>
      </c>
      <c r="E15" s="401">
        <f>SUM('Pt 1 Summary of Data'!E$5:E$7)+SUM('Pt 1 Summary of Data'!G$5:G$7)-SUM('Pt 1 Summary of Data'!H$5:H$7)-SUM(E$9:E$11)</f>
        <v>0</v>
      </c>
      <c r="F15" s="401">
        <f>SUM(C15:E15)</f>
        <v>1619</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179206</v>
      </c>
      <c r="N15" s="409">
        <v>110034</v>
      </c>
      <c r="O15" s="401">
        <f>SUM('Pt 1 Summary of Data'!Q$5:Q$7)+SUM('Pt 1 Summary of Data'!S$5:S$7)-SUM('Pt 1 Summary of Data'!T$5:T$7)+N$56</f>
        <v>27913</v>
      </c>
      <c r="P15" s="401">
        <f>SUM(M15:O15)</f>
        <v>317153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133</v>
      </c>
      <c r="D16" s="404">
        <v>391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56</v>
      </c>
      <c r="F16" s="406">
        <f>SUM(C16:E16)</f>
        <v>580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-6605</v>
      </c>
      <c r="N16" s="404">
        <v>31109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-1978</v>
      </c>
      <c r="P16" s="406">
        <f>SUM(M16:O16)</f>
        <v>22526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1025</v>
      </c>
      <c r="D17" s="406">
        <f>D$15-D$16+IF(AND(OR('Company Information'!$C$12="District of Columbia",'Company Information'!$C$12="Massachusetts",'Company Information'!$C$12="Vermont"),SUM($C$6:$F$11,$C$15:$F$16,$C$38:$D$38)&lt;&gt;0),I$15-I$16,0)</f>
        <v>70</v>
      </c>
      <c r="E17" s="406">
        <f>E$15-E$16+IF(AND(OR('Company Information'!$C$12="District of Columbia",'Company Information'!$C$12="Massachusetts",'Company Information'!$C$12="Vermont"),SUM($C$6:$F$11,$C$15:$F$16,$C$38:$D$38)&lt;&gt;0),J$15-J$16,0)</f>
        <v>-56</v>
      </c>
      <c r="F17" s="406">
        <f>F$15-F$16+IF(AND(OR('Company Information'!$C$12="District of Columbia",'Company Information'!$C$12="Massachusetts",'Company Information'!$C$12="Vermont"),SUM($C$6:$F$11,$C$15:$F$16,$C$38:$D$38)&lt;&gt;0),K$15-K$16,0)</f>
        <v>1039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185811</v>
      </c>
      <c r="N17" s="406">
        <f>N$15-N$16</f>
        <v>78925</v>
      </c>
      <c r="O17" s="406">
        <f>O$15-O$16</f>
        <v>29891</v>
      </c>
      <c r="P17" s="406">
        <f>P$15-P$16</f>
        <v>294627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0.31</v>
      </c>
      <c r="D38" s="411">
        <v>0.11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0.42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14</v>
      </c>
      <c r="N38" s="411">
        <v>8.6667000000000005</v>
      </c>
      <c r="O38" s="438">
        <f>('Pt 1 Summary of Data'!Q$59+'Pt 1 Summary of Data'!S$59-'Pt 1 Summary of Data'!T$59)/12</f>
        <v>3</v>
      </c>
      <c r="P38" s="438">
        <f>SUM(M$38:O$38)</f>
        <v>25.666699999999999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