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K6" i="10"/>
  <c r="H17" i="10" s="1"/>
  <c r="L20" i="10"/>
  <c r="P6" i="10"/>
  <c r="U17" i="10"/>
  <c r="U13" i="10"/>
  <c r="X6" i="10"/>
  <c r="W38" i="10" s="1"/>
  <c r="E7" i="10"/>
  <c r="F7" i="10" s="1"/>
  <c r="G15" i="10"/>
  <c r="K15" i="10"/>
  <c r="P15" i="10"/>
  <c r="P17" i="10" s="1"/>
  <c r="O17" i="10"/>
  <c r="X15" i="10"/>
  <c r="W17" i="10"/>
  <c r="L15" i="10"/>
  <c r="L19" i="10"/>
  <c r="T6" i="10"/>
  <c r="AB13" i="10"/>
  <c r="AA13" i="10"/>
  <c r="AB38" i="10"/>
  <c r="E15" i="10"/>
  <c r="J7" i="10"/>
  <c r="K7" i="10" s="1"/>
  <c r="J17" i="10" s="1"/>
  <c r="O7" i="10"/>
  <c r="P7" i="10" s="1"/>
  <c r="S15" i="10"/>
  <c r="W7" i="10"/>
  <c r="X7" i="10" s="1"/>
  <c r="AA15" i="10"/>
  <c r="P38" i="10"/>
  <c r="G7" i="10"/>
  <c r="G20" i="10" s="1"/>
  <c r="W46" i="10" l="1"/>
  <c r="X38" i="10"/>
  <c r="H45" i="10"/>
  <c r="E38" i="10"/>
  <c r="P52" i="10"/>
  <c r="S17" i="10"/>
  <c r="T15" i="10"/>
  <c r="T17" i="10" s="1"/>
  <c r="AB42" i="10"/>
  <c r="AB39" i="10"/>
  <c r="AB52" i="10"/>
  <c r="AB46" i="10"/>
  <c r="R17" i="10"/>
  <c r="R46" i="10" s="1"/>
  <c r="U46" i="10"/>
  <c r="J38" i="10"/>
  <c r="Q17" i="10"/>
  <c r="Q13" i="10"/>
  <c r="X17" i="10"/>
  <c r="K17" i="10"/>
  <c r="G19" i="10"/>
  <c r="V17" i="10"/>
  <c r="V46" i="10" s="1"/>
  <c r="S38" i="10"/>
  <c r="I17" i="10"/>
  <c r="I45" i="10" s="1"/>
  <c r="E12" i="10"/>
  <c r="C17" i="10"/>
  <c r="AA17" i="10"/>
  <c r="AA46" i="10" s="1"/>
  <c r="AB15" i="10"/>
  <c r="AB17" i="10" s="1"/>
  <c r="AB53" i="10" s="1"/>
  <c r="H11" i="16" s="1"/>
  <c r="S13" i="10"/>
  <c r="G27" i="10"/>
  <c r="G23" i="10"/>
  <c r="G22" i="10"/>
  <c r="G32" i="10"/>
  <c r="G24" i="10"/>
  <c r="W13" i="10"/>
  <c r="J12" i="10"/>
  <c r="I12" i="10"/>
  <c r="D17" i="10"/>
  <c r="D45" i="10" s="1"/>
  <c r="D12" i="10"/>
  <c r="E17" i="10"/>
  <c r="F15" i="10"/>
  <c r="L32" i="10"/>
  <c r="L27" i="10"/>
  <c r="L23" i="10"/>
  <c r="L24" i="10"/>
  <c r="L22" i="10"/>
  <c r="V13" i="10"/>
  <c r="O12" i="10"/>
  <c r="H12" i="10"/>
  <c r="R13" i="10" l="1"/>
  <c r="L21" i="10"/>
  <c r="L26" i="10" s="1"/>
  <c r="L25" i="10" s="1"/>
  <c r="L28" i="10" s="1"/>
  <c r="L30" i="10"/>
  <c r="L31" i="10" s="1"/>
  <c r="L29" i="10" s="1"/>
  <c r="L33" i="10" s="1"/>
  <c r="L34" i="10" s="1"/>
  <c r="F12" i="10"/>
  <c r="C45" i="10"/>
  <c r="AB48" i="10"/>
  <c r="AB51" i="10" s="1"/>
  <c r="AB47" i="10"/>
  <c r="E45" i="10"/>
  <c r="F38" i="10"/>
  <c r="X53" i="10"/>
  <c r="G11" i="16" s="1"/>
  <c r="X39" i="10"/>
  <c r="X52" i="10"/>
  <c r="X46" i="10"/>
  <c r="X42" i="10"/>
  <c r="G21" i="10"/>
  <c r="G26" i="10" s="1"/>
  <c r="G25" i="10" s="1"/>
  <c r="G28" i="10" s="1"/>
  <c r="G30" i="10"/>
  <c r="G31" i="10" s="1"/>
  <c r="G29" i="10" s="1"/>
  <c r="G33" i="10" s="1"/>
  <c r="G34" i="10" s="1"/>
  <c r="Q46" i="10"/>
  <c r="T13" i="10"/>
  <c r="P12" i="10"/>
  <c r="P45" i="10" s="1"/>
  <c r="O45" i="10"/>
  <c r="P39" i="10" s="1"/>
  <c r="P42" i="10" s="1"/>
  <c r="J45" i="10"/>
  <c r="K38" i="10"/>
  <c r="X13" i="10"/>
  <c r="K12" i="10"/>
  <c r="F17" i="10"/>
  <c r="C12" i="10"/>
  <c r="S46" i="10"/>
  <c r="T38" i="10"/>
  <c r="T42" i="10" l="1"/>
  <c r="T53" i="10"/>
  <c r="F11" i="16" s="1"/>
  <c r="T39" i="10"/>
  <c r="T52" i="10"/>
  <c r="T46" i="10"/>
  <c r="P47" i="10"/>
  <c r="P48" i="10" s="1"/>
  <c r="P51" i="10" s="1"/>
  <c r="P53" i="10" s="1"/>
  <c r="E11" i="16" s="1"/>
  <c r="K53" i="10"/>
  <c r="D11" i="16" s="1"/>
  <c r="K39" i="10"/>
  <c r="K42" i="10"/>
  <c r="K52" i="10"/>
  <c r="K45" i="10"/>
  <c r="X47" i="10"/>
  <c r="X48" i="10"/>
  <c r="X51" i="10" s="1"/>
  <c r="F42" i="10"/>
  <c r="F53" i="10"/>
  <c r="C11" i="16" s="1"/>
  <c r="F39" i="10"/>
  <c r="F45" i="10"/>
  <c r="F52" i="10"/>
  <c r="F47" i="10" l="1"/>
  <c r="F48" i="10"/>
  <c r="F51" i="10" s="1"/>
  <c r="K47" i="10"/>
  <c r="K48" i="10"/>
  <c r="K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<sst xmlns="http://schemas.openxmlformats.org/spreadsheetml/2006/main" count="570" uniqueCount="508">
  <si>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</si>
  <si>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</si>
  <si>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</si>
  <si>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</si>
  <si>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</si>
  <si>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</si>
  <si>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</si>
  <si>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</si>
  <si>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</si>
  <si>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</si>
  <si>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</si>
  <si>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</si>
  <si>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</si>
  <si>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</si>
  <si>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</si>
  <si>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</si>
  <si>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</si>
  <si>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</si>
  <si>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</si>
  <si>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</si>
  <si>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</si>
  <si>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</si>
  <si>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</si>
  <si>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</si>
  <si>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</si>
  <si>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</si>
  <si>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</si>
  <si>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</si>
  <si>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</si>
  <si>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</si>
  <si>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</si>
  <si>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</si>
  <si>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</si>
  <si>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</si>
  <si>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</si>
  <si>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</si>
  <si>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</si>
  <si>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</si>
  <si>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</si>
  <si>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</si>
  <si>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</si>
  <si>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</si>
  <si>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</si>
  <si>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</si>
  <si>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</si>
  <si>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</si>
  <si>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</si>
  <si>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</si>
  <si>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</si>
  <si>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</si>
  <si>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</si>
  <si>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</si>
  <si>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</si>
  <si>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</si>
  <si>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</si>
  <si>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</si>
  <si>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</si>
  <si>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</si>
  <si>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</si>
  <si>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</si>
  <si>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</si>
  <si>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</si>
  <si>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</si>
  <si>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</si>
  <si>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</si>
  <si>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</si>
  <si>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</si>
  <si>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</si>
  <si>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</si>
  <si>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</si>
  <si>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</si>
  <si>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</si>
  <si>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</si>
  <si>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</si>
  <si>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</si>
  <si>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</si>
  <si>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</si>
  <si>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</si>
  <si>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</si>
  <si>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</si>
  <si>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</si>
  <si>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</si>
  <si>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</si>
  <si>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</si>
  <si>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</si>
  <si>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</si>
  <si>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</si>
  <si>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</si>
  <si>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</si>
  <si>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</si>
  <si>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</si>
  <si>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</si>
  <si>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</si>
  <si>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</si>
  <si>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</si>
  <si>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</si>
  <si>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</si>
  <si>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</si>
  <si>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</si>
  <si>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</si>
  <si>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</si>
  <si>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</si>
  <si>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</si>
  <si>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</si>
  <si>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</si>
  <si>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</si>
  <si>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</si>
  <si>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</si>
  <si>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</si>
  <si>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</si>
  <si>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</si>
  <si>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</si>
  <si>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</si>
  <si>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</si>
  <si>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</si>
  <si>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</si>
  <si>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</si>
  <si>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</si>
  <si>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</si>
  <si>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</si>
  <si>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</si>
  <si>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</si>
  <si>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</si>
  <si>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</si>
  <si>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</si>
  <si>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</si>
  <si>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</si>
  <si>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</si>
  <si>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</si>
  <si>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</si>
  <si>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</si>
  <si>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</si>
  <si>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</si>
  <si>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</si>
  <si>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</si>
  <si>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</si>
  <si>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</si>
  <si>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</si>
  <si>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</si>
  <si>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</si>
  <si>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</si>
  <si>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</si>
  <si>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</si>
  <si>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</si>
  <si>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</si>
  <si>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</si>
  <si>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</si>
  <si>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</si>
  <si>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</si>
  <si>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</si>
  <si>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</si>
  <si>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</si>
  <si>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</si>
  <si>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</si>
  <si>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</si>
  <si>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</si>
  <si>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</si>
  <si>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</si>
  <si>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</si>
  <si>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</si>
  <si>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</si>
  <si>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</si>
  <si>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</si>
  <si>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</si>
  <si>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</si>
  <si>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</si>
  <si>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</si>
  <si>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</si>
  <si>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</si>
  <si>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</si>
  <si>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</si>
  <si>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</si>
  <si>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</si>
  <si>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</si>
  <si>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</si>
  <si>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</si>
  <si>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</si>
  <si>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</si>
  <si>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</si>
  <si>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</si>
  <si>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</si>
  <si>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</si>
  <si>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</si>
  <si>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</si>
  <si>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</si>
  <si>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</si>
  <si>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</si>
  <si>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</si>
  <si>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</si>
  <si>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</si>
  <si>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</si>
  <si>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</si>
  <si>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</si>
  <si>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</si>
  <si>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</si>
  <si>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</si>
  <si>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</si>
  <si>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</si>
  <si>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</si>
  <si>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</si>
  <si>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</si>
  <si>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</si>
  <si>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</si>
  <si>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</si>
  <si>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</si>
  <si>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</si>
  <si>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</si>
  <si>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</si>
  <si>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</si>
  <si>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</si>
  <si>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</si>
  <si>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</si>
  <si>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</si>
  <si>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</si>
  <si>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</si>
  <si>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</si>
  <si>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</si>
  <si>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</si>
  <si>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</si>
  <si>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</si>
  <si>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</si>
  <si>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</si>
  <si>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</si>
  <si>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</si>
  <si>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</si>
  <si>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</si>
  <si>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</si>
  <si>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</si>
  <si>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</si>
  <si>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</si>
  <si>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</si>
  <si>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</si>
  <si>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</si>
  <si>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</si>
  <si>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</si>
  <si>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</si>
  <si>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</si>
  <si>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</si>
  <si>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</si>
  <si>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</si>
  <si>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</si>
  <si>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</si>
  <si>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</si>
  <si>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</si>
  <si>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</si>
  <si>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</si>
  <si>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</si>
  <si>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</si>
  <si>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</si>
  <si>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</si>
  <si>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</si>
  <si>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</si>
  <si>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</si>
  <si>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</si>
  <si>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</si>
  <si>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</si>
  <si>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</si>
  <si>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</si>
  <si>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</si>
  <si>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</si>
  <si>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</si>
  <si>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</si>
  <si>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</si>
  <si>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</si>
  <si>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</si>
  <si>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</si>
  <si>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</si>
  <si>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</si>
  <si>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</si>
  <si>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</si>
  <si>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</si>
  <si>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</si>
  <si>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</si>
  <si>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</si>
  <si>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</si>
  <si>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</si>
  <si>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</si>
  <si>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</si>
  <si>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</si>
  <si>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</si>
  <si>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</si>
  <si>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</si>
  <si>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</si>
  <si>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</si>
  <si>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</si>
  <si>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</si>
  <si>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</si>
  <si>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</si>
  <si>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</si>
  <si>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</si>
  <si>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</si>
  <si>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</si>
  <si>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</si>
  <si>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</si>
  <si>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</si>
  <si>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</si>
  <si>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</si>
  <si>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</si>
  <si>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</si>
  <si>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</si>
  <si>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</si>
  <si>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</si>
  <si>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</si>
  <si>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</si>
  <si>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</si>
  <si>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</si>
  <si>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</si>
  <si>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</si>
  <si>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</si>
  <si>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</si>
  <si>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</si>
  <si>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</si>
  <si>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</si>
  <si>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</si>
  <si>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</si>
  <si>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</si>
  <si>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</si>
  <si>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</si>
  <si>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</si>
  <si>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</si>
  <si>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</si>
  <si>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</si>
  <si>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</si>
  <si>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</si>
  <si>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</si>
  <si>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</si>
  <si>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</si>
  <si>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</si>
  <si>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</si>
  <si>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</si>
  <si>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</si>
  <si>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</si>
  <si>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</si>
  <si>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</si>
  <si>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</si>
  <si>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</si>
  <si>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</si>
  <si>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</si>
  <si>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</si>
  <si>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</si>
  <si>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</si>
  <si>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</si>
  <si>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</si>
  <si>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</si>
  <si>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</si>
  <si>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</si>
  <si>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</si>
  <si>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</si>
  <si>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</si>
  <si>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</si>
  <si>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</si>
  <si>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</si>
  <si>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</si>
  <si>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</si>
  <si>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</si>
  <si>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</si>
  <si>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</si>
  <si>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</si>
  <si>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</si>
  <si>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</si>
  <si>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</si>
  <si>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</si>
  <si>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</si>
  <si>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</si>
  <si>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</si>
  <si>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</si>
  <si>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</si>
  <si>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</si>
  <si>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</si>
  <si>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</si>
  <si>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</si>
  <si>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</si>
  <si>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</si>
  <si>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</si>
  <si>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</si>
  <si>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</si>
  <si>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</si>
  <si>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</si>
  <si>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</si>
  <si>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</si>
  <si>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</si>
  <si>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</si>
  <si>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</si>
  <si>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</si>
  <si>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</si>
  <si>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</si>
  <si>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</si>
  <si>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</si>
  <si>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</si>
  <si>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</si>
  <si>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</si>
  <si>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</si>
  <si>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</si>
  <si>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</si>
  <si>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</si>
  <si>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</si>
  <si>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</si>
  <si>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</si>
  <si>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</si>
  <si>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</si>
  <si>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</si>
  <si>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</si>
  <si>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</si>
  <si>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</si>
  <si>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</si>
  <si>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</si>
  <si>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</si>
  <si>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</si>
  <si>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</si>
  <si>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</si>
  <si>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</si>
  <si>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</si>
  <si>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</si>
  <si>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</si>
  <si>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</si>
  <si>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</si>
  <si>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</si>
  <si>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</si>
  <si>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</si>
  <si>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</si>
  <si>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</si>
  <si>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</si>
  <si>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</si>
  <si>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</si>
  <si>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</si>
  <si>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</si>
  <si>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</si>
  <si>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</si>
  <si>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</si>
  <si>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</si>
  <si>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</si>
  <si>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</si>
  <si>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</si>
  <si>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</si>
  <si>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</si>
  <si>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</si>
  <si>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</si>
  <si>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</si>
  <si>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</si>
  <si>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</si>
  <si>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</si>
  <si>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</si>
  <si>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</si>
  <si>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</si>
  <si>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</si>
  <si>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</si>
  <si>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</si>
  <si>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</si>
  <si>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</si>
  <si>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</si>
  <si>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</si>
  <si>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</si>
  <si>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</si>
  <si>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</si>
  <si>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</si>
  <si>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</si>
  <si>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</si>
  <si>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</si>
  <si>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</si>
  <si>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</si>
  <si>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</si>
  <si>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</si>
  <si>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</si>
  <si>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</si>
  <si>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</si>
  <si>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</si>
  <si>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</si>
  <si>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</si>
  <si>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</si>
  <si>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</si>
  <si>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</si>
  <si>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</si>
  <si>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</si>
  <si>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</si>
  <si>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</si>
  <si>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</si>
  <si>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</si>
  <si>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</si>
  <si>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</si>
  <si>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</si>
  <si>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</si>
  <si>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</si>
  <si>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</si>
  <si>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</si>
  <si>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</si>
  <si>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</si>
  <si>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</si>
  <si>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</si>
  <si>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</si>
  <si>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</si>
  <si>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</si>
  <si>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</si>
  <si>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</si>
  <si>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</si>
  <si>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</si>
  <si>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</si>
  <si>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</si>
  <si>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</si>
  <si>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</si>
  <si>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</si>
  <si>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</si>
  <si>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</si>
  <si>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</si>
  <si>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</si>
  <si>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</si>
  <si>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52129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</si>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</sst>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65307003</v>
      </c>
      <c r="Q5" s="219">
        <f>SUM('Pt 2 Premium and Claims'!Q$5,'Pt 2 Premium and Claims'!Q$6,-'Pt 2 Premium and Claims'!Q$7,-'Pt 2 Premium and Claims'!Q$13,'Pt 2 Premium and Claims'!Q$14)</f>
        <v>64935166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129120487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1846</v>
      </c>
      <c r="Q7" s="223">
        <v>1846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3649</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356232</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-462</v>
      </c>
      <c r="E12" s="219">
        <f>'Pt 2 Premium and Claims'!E$54</f>
        <v>289</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47967828</v>
      </c>
      <c r="Q12" s="219">
        <f>'Pt 2 Premium and Claims'!Q$54</f>
        <v>46630697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92372389</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7427467</v>
      </c>
      <c r="Q13" s="223">
        <v>7419757</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5199</v>
      </c>
      <c r="AU13" s="226">
        <v>0</v>
      </c>
      <c r="AV13" s="296"/>
      <c r="AW13" s="303"/>
    </row>
    <row r="14" spans="1:49" ht="25.5" x14ac:dyDescent="0.2">
      <c r="B14" s="245" t="s">
        <v>231</v>
      </c>
      <c r="C14" s="209" t="s">
        <v>6</v>
      </c>
      <c r="D14" s="222">
        <v>0</v>
      </c>
      <c r="E14" s="223">
        <v>1</v>
      </c>
      <c r="F14" s="223"/>
      <c r="G14" s="273"/>
      <c r="H14" s="276"/>
      <c r="I14" s="222">
        <v>0</v>
      </c>
      <c r="J14" s="222">
        <v>0</v>
      </c>
      <c r="K14" s="223">
        <v>0</v>
      </c>
      <c r="L14" s="223"/>
      <c r="M14" s="273"/>
      <c r="N14" s="276"/>
      <c r="O14" s="222"/>
      <c r="P14" s="222">
        <v>1197206</v>
      </c>
      <c r="Q14" s="223">
        <v>1551304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128186</v>
      </c>
      <c r="AU14" s="226">
        <v>0</v>
      </c>
      <c r="AV14" s="296"/>
      <c r="AW14" s="303"/>
    </row>
    <row r="15" spans="1:49" ht="38.25" x14ac:dyDescent="0.2">
      <c r="B15" s="245" t="s">
        <v>232</v>
      </c>
      <c r="C15" s="209" t="s">
        <v>7</v>
      </c>
      <c r="D15" s="222">
        <v>1</v>
      </c>
      <c r="E15" s="223">
        <v>0</v>
      </c>
      <c r="F15" s="223"/>
      <c r="G15" s="273"/>
      <c r="H15" s="279"/>
      <c r="I15" s="222">
        <v>0</v>
      </c>
      <c r="J15" s="222">
        <v>0</v>
      </c>
      <c r="K15" s="223">
        <v>0</v>
      </c>
      <c r="L15" s="223"/>
      <c r="M15" s="273"/>
      <c r="N15" s="279"/>
      <c r="O15" s="222"/>
      <c r="P15" s="222">
        <v>53736</v>
      </c>
      <c r="Q15" s="223">
        <v>57951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-500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43</v>
      </c>
      <c r="E25" s="223">
        <v>43</v>
      </c>
      <c r="F25" s="223"/>
      <c r="G25" s="223"/>
      <c r="H25" s="223"/>
      <c r="I25" s="222">
        <v>0</v>
      </c>
      <c r="J25" s="222">
        <v>-197</v>
      </c>
      <c r="K25" s="223">
        <v>-197</v>
      </c>
      <c r="L25" s="223"/>
      <c r="M25" s="223"/>
      <c r="N25" s="223"/>
      <c r="O25" s="222"/>
      <c r="P25" s="222">
        <v>2939493</v>
      </c>
      <c r="Q25" s="223">
        <v>2939493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7050182</v>
      </c>
      <c r="AU25" s="226">
        <v>0</v>
      </c>
      <c r="AV25" s="226">
        <v>-1107431</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36188</v>
      </c>
      <c r="Q26" s="223">
        <v>36188</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1335971</v>
      </c>
      <c r="Q27" s="223">
        <v>1335971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679369</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186688</v>
      </c>
      <c r="Q28" s="223">
        <v>186688</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156640</v>
      </c>
      <c r="AU28" s="226">
        <v>0</v>
      </c>
      <c r="AV28" s="226">
        <v>3340685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27</v>
      </c>
      <c r="E30" s="223">
        <v>27</v>
      </c>
      <c r="F30" s="223"/>
      <c r="G30" s="223"/>
      <c r="H30" s="223"/>
      <c r="I30" s="222">
        <v>0</v>
      </c>
      <c r="J30" s="222">
        <v>-126</v>
      </c>
      <c r="K30" s="223">
        <v>-126</v>
      </c>
      <c r="L30" s="223"/>
      <c r="M30" s="223"/>
      <c r="N30" s="223"/>
      <c r="O30" s="222"/>
      <c r="P30" s="222">
        <v>2060142</v>
      </c>
      <c r="Q30" s="223">
        <v>2060142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4905210</v>
      </c>
      <c r="AU30" s="226">
        <v>0</v>
      </c>
      <c r="AV30" s="226">
        <v>-620402</v>
      </c>
      <c r="AW30" s="303"/>
    </row>
    <row r="31" spans="1:49" x14ac:dyDescent="0.2">
      <c r="B31" s="248" t="s">
        <v>247</v>
      </c>
      <c r="C31" s="209"/>
      <c r="D31" s="222">
        <v>0</v>
      </c>
      <c r="E31" s="223">
        <v>0</v>
      </c>
      <c r="F31" s="223"/>
      <c r="G31" s="223"/>
      <c r="H31" s="223"/>
      <c r="I31" s="222">
        <v>0</v>
      </c>
      <c r="J31" s="222">
        <v>0</v>
      </c>
      <c r="K31" s="223">
        <v>0</v>
      </c>
      <c r="L31" s="223"/>
      <c r="M31" s="223"/>
      <c r="N31" s="223"/>
      <c r="O31" s="222"/>
      <c r="P31" s="222">
        <v>1122887</v>
      </c>
      <c r="Q31" s="223">
        <v>1122887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2220089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742167</v>
      </c>
      <c r="Q34" s="223">
        <v>742167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-1635</v>
      </c>
      <c r="Q35" s="223">
        <v>-1635</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2523</v>
      </c>
      <c r="AU35" s="226">
        <v>0</v>
      </c>
      <c r="AV35" s="226">
        <v>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61</v>
      </c>
      <c r="E37" s="231">
        <v>61</v>
      </c>
      <c r="F37" s="231"/>
      <c r="G37" s="231"/>
      <c r="H37" s="231"/>
      <c r="I37" s="230">
        <v>0</v>
      </c>
      <c r="J37" s="230">
        <v>146</v>
      </c>
      <c r="K37" s="231">
        <v>146</v>
      </c>
      <c r="L37" s="231"/>
      <c r="M37" s="231"/>
      <c r="N37" s="231"/>
      <c r="O37" s="230"/>
      <c r="P37" s="230">
        <v>67084</v>
      </c>
      <c r="Q37" s="231">
        <v>66225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567</v>
      </c>
      <c r="AU37" s="232">
        <v>0</v>
      </c>
      <c r="AV37" s="232">
        <v>3505858</v>
      </c>
      <c r="AW37" s="302"/>
    </row>
    <row r="38" spans="1:49" x14ac:dyDescent="0.2">
      <c r="B38" s="245" t="s">
        <v>254</v>
      </c>
      <c r="C38" s="209" t="s">
        <v>16</v>
      </c>
      <c r="D38" s="222">
        <v>61</v>
      </c>
      <c r="E38" s="223">
        <v>61</v>
      </c>
      <c r="F38" s="223"/>
      <c r="G38" s="223"/>
      <c r="H38" s="223"/>
      <c r="I38" s="222">
        <v>0</v>
      </c>
      <c r="J38" s="222">
        <v>146</v>
      </c>
      <c r="K38" s="223">
        <v>146</v>
      </c>
      <c r="L38" s="223"/>
      <c r="M38" s="223"/>
      <c r="N38" s="223"/>
      <c r="O38" s="222"/>
      <c r="P38" s="222">
        <v>16640</v>
      </c>
      <c r="Q38" s="223">
        <v>16320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-5</v>
      </c>
      <c r="AU38" s="226">
        <v>0</v>
      </c>
      <c r="AV38" s="226">
        <v>501406</v>
      </c>
      <c r="AW38" s="303"/>
    </row>
    <row r="39" spans="1:49" x14ac:dyDescent="0.2">
      <c r="B39" s="248" t="s">
        <v>255</v>
      </c>
      <c r="C39" s="209" t="s">
        <v>17</v>
      </c>
      <c r="D39" s="222">
        <v>61</v>
      </c>
      <c r="E39" s="223">
        <v>61</v>
      </c>
      <c r="F39" s="223"/>
      <c r="G39" s="223"/>
      <c r="H39" s="223"/>
      <c r="I39" s="222">
        <v>0</v>
      </c>
      <c r="J39" s="222">
        <v>146</v>
      </c>
      <c r="K39" s="223">
        <v>146</v>
      </c>
      <c r="L39" s="223"/>
      <c r="M39" s="223"/>
      <c r="N39" s="223"/>
      <c r="O39" s="222"/>
      <c r="P39" s="222">
        <v>68190</v>
      </c>
      <c r="Q39" s="223">
        <v>69389</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528</v>
      </c>
      <c r="AU39" s="226">
        <v>0</v>
      </c>
      <c r="AV39" s="226">
        <v>85286</v>
      </c>
      <c r="AW39" s="303"/>
    </row>
    <row r="40" spans="1:49" x14ac:dyDescent="0.2">
      <c r="B40" s="248" t="s">
        <v>256</v>
      </c>
      <c r="C40" s="209" t="s">
        <v>38</v>
      </c>
      <c r="D40" s="222">
        <v>61</v>
      </c>
      <c r="E40" s="223">
        <v>61</v>
      </c>
      <c r="F40" s="223"/>
      <c r="G40" s="223"/>
      <c r="H40" s="223"/>
      <c r="I40" s="222">
        <v>0</v>
      </c>
      <c r="J40" s="222">
        <v>146</v>
      </c>
      <c r="K40" s="223">
        <v>146</v>
      </c>
      <c r="L40" s="223"/>
      <c r="M40" s="223"/>
      <c r="N40" s="223"/>
      <c r="O40" s="222"/>
      <c r="P40" s="222">
        <v>6476</v>
      </c>
      <c r="Q40" s="223">
        <v>6125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2326</v>
      </c>
      <c r="AU40" s="226">
        <v>0</v>
      </c>
      <c r="AV40" s="226">
        <v>549233</v>
      </c>
      <c r="AW40" s="303"/>
    </row>
    <row r="41" spans="1:49" s="11" customFormat="1" ht="25.5" x14ac:dyDescent="0.2">
      <c r="A41" s="41"/>
      <c r="B41" s="248" t="s">
        <v>257</v>
      </c>
      <c r="C41" s="209" t="s">
        <v>129</v>
      </c>
      <c r="D41" s="222">
        <v>61</v>
      </c>
      <c r="E41" s="223">
        <v>61</v>
      </c>
      <c r="F41" s="223"/>
      <c r="G41" s="223"/>
      <c r="H41" s="223"/>
      <c r="I41" s="222">
        <v>0</v>
      </c>
      <c r="J41" s="222">
        <v>146</v>
      </c>
      <c r="K41" s="223">
        <v>146</v>
      </c>
      <c r="L41" s="223"/>
      <c r="M41" s="223"/>
      <c r="N41" s="223"/>
      <c r="O41" s="222"/>
      <c r="P41" s="222">
        <v>31918</v>
      </c>
      <c r="Q41" s="223">
        <v>31391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13647</v>
      </c>
      <c r="AU41" s="226">
        <v>0</v>
      </c>
      <c r="AV41" s="226">
        <v>1557383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2862</v>
      </c>
      <c r="Q42" s="223">
        <v>2862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63546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1470694</v>
      </c>
      <c r="Q44" s="231">
        <v>1486562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90838</v>
      </c>
      <c r="AU44" s="232">
        <v>0</v>
      </c>
      <c r="AV44" s="232">
        <v>17431941</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13610</v>
      </c>
      <c r="Q45" s="223">
        <v>13610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5705</v>
      </c>
      <c r="AU45" s="226">
        <v>0</v>
      </c>
      <c r="AV45" s="226">
        <v>-15138</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395909</v>
      </c>
      <c r="Q46" s="223">
        <v>395909</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431448</v>
      </c>
      <c r="AU46" s="226">
        <v>0</v>
      </c>
      <c r="AV46" s="226">
        <v>5584037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1453864</v>
      </c>
      <c r="Q47" s="223">
        <v>1453864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2867061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4649</v>
      </c>
      <c r="Q49" s="223">
        <v>4649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-35</v>
      </c>
      <c r="AU49" s="226">
        <v>0</v>
      </c>
      <c r="AV49" s="226">
        <v>687</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14201</v>
      </c>
      <c r="Q50" s="223">
        <v>14201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3305</v>
      </c>
      <c r="AU50" s="226">
        <v>0</v>
      </c>
      <c r="AV50" s="226">
        <v>1749</v>
      </c>
      <c r="AW50" s="303"/>
    </row>
    <row r="51" spans="2:49" x14ac:dyDescent="0.2">
      <c r="B51" s="245" t="s">
        <v>266</v>
      </c>
      <c r="C51" s="209"/>
      <c r="D51" s="222">
        <v>0</v>
      </c>
      <c r="E51" s="223">
        <v>0</v>
      </c>
      <c r="F51" s="223"/>
      <c r="G51" s="223"/>
      <c r="H51" s="223"/>
      <c r="I51" s="222">
        <v>0</v>
      </c>
      <c r="J51" s="222">
        <v>0</v>
      </c>
      <c r="K51" s="223">
        <v>0</v>
      </c>
      <c r="L51" s="223"/>
      <c r="M51" s="223"/>
      <c r="N51" s="223"/>
      <c r="O51" s="222"/>
      <c r="P51" s="222">
        <v>928469</v>
      </c>
      <c r="Q51" s="223">
        <v>928469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4716131</v>
      </c>
      <c r="AU51" s="226">
        <v>0</v>
      </c>
      <c r="AV51" s="226">
        <v>90185504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4496</v>
      </c>
      <c r="Q53" s="223">
        <v>4496</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19941</v>
      </c>
      <c r="AU53" s="226">
        <v>0</v>
      </c>
      <c r="AV53" s="226">
        <v>187206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118770713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6236</v>
      </c>
      <c r="Q56" s="235">
        <v>6236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75248</v>
      </c>
      <c r="AU56" s="236">
        <v>0</v>
      </c>
      <c r="AV56" s="236">
        <v>479770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12288</v>
      </c>
      <c r="Q57" s="238">
        <v>12288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164338</v>
      </c>
      <c r="AU57" s="239">
        <v>0</v>
      </c>
      <c r="AV57" s="239">
        <v>991999</v>
      </c>
      <c r="AW57" s="295"/>
    </row>
    <row r="58" spans="2:49" x14ac:dyDescent="0.2">
      <c r="B58" s="251" t="s">
        <v>273</v>
      </c>
      <c r="C58" s="209" t="s">
        <v>26</v>
      </c>
      <c r="D58" s="315"/>
      <c r="E58" s="316"/>
      <c r="F58" s="316"/>
      <c r="G58" s="316"/>
      <c r="H58" s="316"/>
      <c r="I58" s="315"/>
      <c r="J58" s="237">
        <v>0</v>
      </c>
      <c r="K58" s="238">
        <v>0</v>
      </c>
      <c r="L58" s="238"/>
      <c r="M58" s="238"/>
      <c r="N58" s="238"/>
      <c r="O58" s="237"/>
      <c r="P58" s="237">
        <v>25</v>
      </c>
      <c r="Q58" s="238">
        <v>25</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102</v>
      </c>
      <c r="AU58" s="239">
        <v>0</v>
      </c>
      <c r="AV58" s="239">
        <v>451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158536</v>
      </c>
      <c r="Q59" s="238">
        <v>158536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1934884</v>
      </c>
      <c r="AU59" s="239">
        <v>0</v>
      </c>
      <c r="AV59" s="239">
        <v>11998638</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13211.333333333334</v>
      </c>
      <c r="Q60" s="241">
        <f>Q$59/12</f>
        <v>13211.333333333334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161240.33333333334</v>
      </c>
      <c r="AU60" s="242">
        <f>AU$59/12</f>
        <v>0</v>
      </c>
      <c r="AV60" s="242">
        <f>AV$59/12</f>
        <v>999886.5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4562370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1490367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-116429</v>
      </c>
      <c r="E5" s="332">
        <v>-116429</v>
      </c>
      <c r="F5" s="332"/>
      <c r="G5" s="334"/>
      <c r="H5" s="334"/>
      <c r="I5" s="331">
        <v>0</v>
      </c>
      <c r="J5" s="331">
        <v>0</v>
      </c>
      <c r="K5" s="332">
        <v>0</v>
      </c>
      <c r="L5" s="332"/>
      <c r="M5" s="332"/>
      <c r="N5" s="332"/>
      <c r="O5" s="331"/>
      <c r="P5" s="331">
        <v>65582364</v>
      </c>
      <c r="Q5" s="332">
        <v>64698234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129474770</v>
      </c>
      <c r="AU5" s="333">
        <v>0</v>
      </c>
      <c r="AV5" s="375"/>
      <c r="AW5" s="379"/>
    </row>
    <row r="6" spans="2:49" x14ac:dyDescent="0.2">
      <c r="B6" s="349" t="s">
        <v>278</v>
      </c>
      <c r="C6" s="337" t="s">
        <v>8</v>
      </c>
      <c r="D6" s="324">
        <v>116429</v>
      </c>
      <c r="E6" s="325">
        <v>116429</v>
      </c>
      <c r="F6" s="325"/>
      <c r="G6" s="326"/>
      <c r="H6" s="326"/>
      <c r="I6" s="324">
        <v>0</v>
      </c>
      <c r="J6" s="324">
        <v>0</v>
      </c>
      <c r="K6" s="325">
        <v>0</v>
      </c>
      <c r="L6" s="325"/>
      <c r="M6" s="325"/>
      <c r="N6" s="325"/>
      <c r="O6" s="324"/>
      <c r="P6" s="324">
        <v>236695</v>
      </c>
      <c r="Q6" s="325">
        <v>236695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401034</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510931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616803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1025711</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1025711</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3423799</v>
      </c>
      <c r="Q11" s="325">
        <v>412326</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3831723</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2854054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4616523</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1125</v>
      </c>
      <c r="Q13" s="325">
        <v>-237</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138514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411</v>
      </c>
      <c r="E23" s="368"/>
      <c r="F23" s="368"/>
      <c r="G23" s="368"/>
      <c r="H23" s="368"/>
      <c r="I23" s="370"/>
      <c r="J23" s="324">
        <v>0</v>
      </c>
      <c r="K23" s="368"/>
      <c r="L23" s="368"/>
      <c r="M23" s="368"/>
      <c r="N23" s="368"/>
      <c r="O23" s="370"/>
      <c r="P23" s="324">
        <v>48396558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91274612</v>
      </c>
      <c r="AU23" s="327">
        <v>0</v>
      </c>
      <c r="AV23" s="374"/>
      <c r="AW23" s="380"/>
    </row>
    <row r="24" spans="2:49" ht="28.5" customHeight="1" x14ac:dyDescent="0.2">
      <c r="B24" s="351" t="s">
        <v>114</v>
      </c>
      <c r="C24" s="337"/>
      <c r="D24" s="371"/>
      <c r="E24" s="325">
        <v>411</v>
      </c>
      <c r="F24" s="325"/>
      <c r="G24" s="325"/>
      <c r="H24" s="325"/>
      <c r="I24" s="324">
        <v>0</v>
      </c>
      <c r="J24" s="371"/>
      <c r="K24" s="325">
        <v>0</v>
      </c>
      <c r="L24" s="325"/>
      <c r="M24" s="325"/>
      <c r="N24" s="325"/>
      <c r="O24" s="324"/>
      <c r="P24" s="371"/>
      <c r="Q24" s="325">
        <v>47222751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8162847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13830617</v>
      </c>
      <c r="AU26" s="327">
        <v>0</v>
      </c>
      <c r="AV26" s="374"/>
      <c r="AW26" s="380"/>
    </row>
    <row r="27" spans="2:49" s="11" customFormat="1" ht="25.5" x14ac:dyDescent="0.2">
      <c r="B27" s="351" t="s">
        <v>85</v>
      </c>
      <c r="C27" s="337"/>
      <c r="D27" s="371"/>
      <c r="E27" s="325">
        <v>-114</v>
      </c>
      <c r="F27" s="325"/>
      <c r="G27" s="325"/>
      <c r="H27" s="325"/>
      <c r="I27" s="324">
        <v>0</v>
      </c>
      <c r="J27" s="371"/>
      <c r="K27" s="325">
        <v>0</v>
      </c>
      <c r="L27" s="325"/>
      <c r="M27" s="325"/>
      <c r="N27" s="325"/>
      <c r="O27" s="324"/>
      <c r="P27" s="371"/>
      <c r="Q27" s="325">
        <v>-2079232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862</v>
      </c>
      <c r="E28" s="369"/>
      <c r="F28" s="369"/>
      <c r="G28" s="369"/>
      <c r="H28" s="369"/>
      <c r="I28" s="371"/>
      <c r="J28" s="324">
        <v>0</v>
      </c>
      <c r="K28" s="369"/>
      <c r="L28" s="369"/>
      <c r="M28" s="369"/>
      <c r="N28" s="369"/>
      <c r="O28" s="371"/>
      <c r="P28" s="324">
        <v>10330225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11689228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333366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592178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58210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58210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v>
      </c>
      <c r="E36" s="325">
        <v>8</v>
      </c>
      <c r="F36" s="325"/>
      <c r="G36" s="325"/>
      <c r="H36" s="325"/>
      <c r="I36" s="324">
        <v>0</v>
      </c>
      <c r="J36" s="324">
        <v>0</v>
      </c>
      <c r="K36" s="325">
        <v>0</v>
      </c>
      <c r="L36" s="325"/>
      <c r="M36" s="325"/>
      <c r="N36" s="325"/>
      <c r="O36" s="324"/>
      <c r="P36" s="324">
        <v>52075</v>
      </c>
      <c r="Q36" s="325">
        <v>52075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1025711</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1025711</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3423799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3831723</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412326</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2854054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4616523</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78291</v>
      </c>
      <c r="Q45" s="325">
        <v>43493</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366129</v>
      </c>
      <c r="Q49" s="325">
        <v>487</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v>
      </c>
      <c r="E50" s="369"/>
      <c r="F50" s="369"/>
      <c r="G50" s="369"/>
      <c r="H50" s="369"/>
      <c r="I50" s="371"/>
      <c r="J50" s="324">
        <v>0</v>
      </c>
      <c r="K50" s="369"/>
      <c r="L50" s="369"/>
      <c r="M50" s="369"/>
      <c r="N50" s="369"/>
      <c r="O50" s="371"/>
      <c r="P50" s="324">
        <v>424895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-462</v>
      </c>
      <c r="E54" s="329">
        <f>E24+E27+E31+E35-E36+E39+E42+E45+E46-E49+E51+E52+E53</f>
        <v>289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47967828</v>
      </c>
      <c r="Q54" s="329">
        <f>Q24+Q27+Q31+Q35-Q36+Q39+Q42+Q45+Q46-Q49+Q51+Q52+Q53</f>
        <v>46630697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92372389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47377122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329448</v>
      </c>
      <c r="D6" s="404">
        <v>-25279</v>
      </c>
      <c r="E6" s="406">
        <f>SUM('Pt 1 Summary of Data'!E$12,'Pt 1 Summary of Data'!E$22)+SUM('Pt 1 Summary of Data'!G$12,'Pt 1 Summary of Data'!G$22)-SUM('Pt 1 Summary of Data'!H$12,'Pt 1 Summary of Data'!H$22)</f>
        <v>289</v>
      </c>
      <c r="F6" s="406">
        <f>SUM(C6:E6)</f>
        <v>304458</v>
      </c>
      <c r="G6" s="407">
        <f>SUM('Pt 1 Summary of Data'!I$12,'Pt 1 Summary of Data'!I$22)</f>
        <v>0</v>
      </c>
      <c r="H6" s="403">
        <v>0</v>
      </c>
      <c r="I6" s="404">
        <v>-34</v>
      </c>
      <c r="J6" s="406">
        <f>SUM('Pt 1 Summary of Data'!K$12,'Pt 1 Summary of Data'!K$22)+SUM('Pt 1 Summary of Data'!M$12,'Pt 1 Summary of Data'!M$22)-SUM('Pt 1 Summary of Data'!N$12,'Pt 1 Summary of Data'!N$22)</f>
        <v>0</v>
      </c>
      <c r="K6" s="406">
        <f>SUM(H6:J6)</f>
        <v>-34</v>
      </c>
      <c r="L6" s="407">
        <f>SUM('Pt 1 Summary of Data'!O$12,'Pt 1 Summary of Data'!O$22)</f>
        <v>0</v>
      </c>
      <c r="M6" s="403">
        <v>20689964</v>
      </c>
      <c r="N6" s="404">
        <v>41890879</v>
      </c>
      <c r="O6" s="406">
        <f>SUM('Pt 1 Summary of Data'!Q$12,'Pt 1 Summary of Data'!Q$22)+SUM('Pt 1 Summary of Data'!S$12,'Pt 1 Summary of Data'!S$22)-SUM('Pt 1 Summary of Data'!T$12,'Pt 1 Summary of Data'!T$22)</f>
        <v>46630697</v>
      </c>
      <c r="P6" s="406">
        <f>SUM(M6:O6)</f>
        <v>109211540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589</v>
      </c>
      <c r="D7" s="404">
        <v>3</v>
      </c>
      <c r="E7" s="406">
        <f>SUM('Pt 1 Summary of Data'!E$37:E$41)+SUM('Pt 1 Summary of Data'!G$37:G$41)-SUM('Pt 1 Summary of Data'!H$37:H$41)+MAX(0,MIN('Pt 1 Summary of Data'!E$42+'Pt 1 Summary of Data'!G$42-'Pt 1 Summary of Data'!H$42,0.3%*('Pt 1 Summary of Data'!E$5+'Pt 1 Summary of Data'!G$5-'Pt 1 Summary of Data'!H$5-SUM(E$9:E$11))))</f>
        <v>305</v>
      </c>
      <c r="F7" s="406">
        <f>SUM(C7:E7)</f>
        <v>897</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730</v>
      </c>
      <c r="K7" s="406">
        <f>SUM(H7:J7)</f>
        <v>730</v>
      </c>
      <c r="L7" s="407">
        <f>SUM('Pt 1 Summary of Data'!O$37:O$41)+MAX(0,MIN(VALUE('Pt 1 Summary of Data'!O$42),0.3%*('Pt 1 Summary of Data'!O$5-L$10)))</f>
        <v>0</v>
      </c>
      <c r="M7" s="403">
        <v>102483</v>
      </c>
      <c r="N7" s="404">
        <v>111735</v>
      </c>
      <c r="O7" s="406">
        <f>SUM('Pt 1 Summary of Data'!Q$37:Q$41)+SUM('Pt 1 Summary of Data'!S$37:S$41)-SUM('Pt 1 Summary of Data'!T$37:T$41)+MAX(0,MIN('Pt 1 Summary of Data'!Q$42+'Pt 1 Summary of Data'!S$42-'Pt 1 Summary of Data'!T$42,0.3%*('Pt 1 Summary of Data'!Q$5+'Pt 1 Summary of Data'!S$5-'Pt 1 Summary of Data'!T$5)))</f>
        <v>192312</v>
      </c>
      <c r="P7" s="406">
        <f>SUM(M7:O7)</f>
        <v>406530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330037</v>
      </c>
      <c r="D12" s="406">
        <f>SUM(D$6:D$7) - SUM(D$8:D$11)+IF(AND(OR('Company Information'!$C$12="District of Columbia",'Company Information'!$C$12="Massachusetts",'Company Information'!$C$12="Vermont"),SUM($C$6:$F$11,$C$15:$F$16,$C$38:$D$38)&lt;&gt;0),SUM(I$6:I$7) - SUM(I$10:I$11),0)</f>
        <v>-25276</v>
      </c>
      <c r="E12" s="406">
        <f>SUM(E$6:E$7)-SUM(E$8:E$11)+IF(AND(OR('Company Information'!$C$12="District of Columbia",'Company Information'!$C$12="Massachusetts",'Company Information'!$C$12="Vermont"),SUM($C$6:$F$11,$C$15:$F$16,$C$38:$D$38)&lt;&gt;0),SUM(J$6:J$7)-SUM(J$10:J$11),0)</f>
        <v>594</v>
      </c>
      <c r="F12" s="406">
        <f>IFERROR(SUM(C$12:E$12)+C$17*MAX(0,E$50-C$50)+D$17*MAX(0,E$50-D$50),0)</f>
        <v>305355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-34</v>
      </c>
      <c r="J12" s="406">
        <f>SUM(J$6:J$7)-SUM(J$10:J$11)+IF(AND(OR('Company Information'!$C$12="District of Columbia",'Company Information'!$C$12="Massachusetts",'Company Information'!$C$12="Vermont"),SUM($H$6:$K$11,$H$15:$K$16,$H$38:$I$38)&lt;&gt;0),SUM(E$6:E$7)-SUM(E$8:E$11),0)</f>
        <v>730</v>
      </c>
      <c r="K12" s="406">
        <f>IFERROR(SUM(H$12:J$12)+H$17*MAX(0,J$50-H$50)+I$17*MAX(0,J$50-I$50),0)</f>
        <v>696</v>
      </c>
      <c r="L12" s="453"/>
      <c r="M12" s="405">
        <f>SUM(M$6:M$7)</f>
        <v>20792447</v>
      </c>
      <c r="N12" s="406">
        <f>SUM(N$6:N$7)</f>
        <v>42002614</v>
      </c>
      <c r="O12" s="406">
        <f>SUM(O$6:O$7)</f>
        <v>46823009</v>
      </c>
      <c r="P12" s="406">
        <f>SUM(M$12:O$12)+M$17*MAX(0,O$50-M$50)+N$17*MAX(0,O$50-N$50)</f>
        <v>109618070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232949</v>
      </c>
      <c r="D15" s="409">
        <v>2067</v>
      </c>
      <c r="E15" s="401">
        <f>SUM('Pt 1 Summary of Data'!E$5:E$7)+SUM('Pt 1 Summary of Data'!G$5:G$7)-SUM('Pt 1 Summary of Data'!H$5:H$7)-SUM(E$9:E$11)</f>
        <v>0</v>
      </c>
      <c r="F15" s="401">
        <f>SUM(C15:E15)</f>
        <v>235016</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27818900</v>
      </c>
      <c r="N15" s="409">
        <v>49834849</v>
      </c>
      <c r="O15" s="401">
        <f>SUM('Pt 1 Summary of Data'!Q$5:Q$7)+SUM('Pt 1 Summary of Data'!S$5:S$7)-SUM('Pt 1 Summary of Data'!T$5:T$7)+N$56</f>
        <v>64937012</v>
      </c>
      <c r="P15" s="401">
        <f>SUM(M15:O15)</f>
        <v>142590761</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-52399</v>
      </c>
      <c r="D16" s="404">
        <v>34369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70</v>
      </c>
      <c r="F16" s="406">
        <f>SUM(C16:E16)</f>
        <v>-17960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23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-323</v>
      </c>
      <c r="K16" s="406">
        <f>SUM(H16:J16)</f>
        <v>-300</v>
      </c>
      <c r="L16" s="407">
        <f>SUM('Pt 1 Summary of Data'!O$25:O$28,'Pt 1 Summary of Data'!O$30,'Pt 1 Summary of Data'!O$34:O$35)+IF('Company Information'!$C$15="No",IF(MAX('Pt 1 Summary of Data'!O$31:O$32)=0,MIN('Pt 1 Summary of Data'!O$31:O$32),MAX('Pt 1 Summary of Data'!O$31:O$32)),SUM('Pt 1 Summary of Data'!O$31:O$32))</f>
        <v>0</v>
      </c>
      <c r="M16" s="403">
        <v>1971216</v>
      </c>
      <c r="N16" s="404">
        <v>5995154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8421901</v>
      </c>
      <c r="P16" s="406">
        <f>SUM(M16:O16)</f>
        <v>16388271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285348</v>
      </c>
      <c r="D17" s="406">
        <f>D$15-D$16+IF(AND(OR('Company Information'!$C$12="District of Columbia",'Company Information'!$C$12="Massachusetts",'Company Information'!$C$12="Vermont"),SUM($C$6:$F$11,$C$15:$F$16,$C$38:$D$38)&lt;&gt;0),I$15-I$16,0)</f>
        <v>-32302</v>
      </c>
      <c r="E17" s="406">
        <f>E$15-E$16+IF(AND(OR('Company Information'!$C$12="District of Columbia",'Company Information'!$C$12="Massachusetts",'Company Information'!$C$12="Vermont"),SUM($C$6:$F$11,$C$15:$F$16,$C$38:$D$38)&lt;&gt;0),J$15-J$16,0)</f>
        <v>-70</v>
      </c>
      <c r="F17" s="406">
        <f>F$15-F$16+IF(AND(OR('Company Information'!$C$12="District of Columbia",'Company Information'!$C$12="Massachusetts",'Company Information'!$C$12="Vermont"),SUM($C$6:$F$11,$C$15:$F$16,$C$38:$D$38)&lt;&gt;0),K$15-K$16,0)</f>
        <v>252976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-23</v>
      </c>
      <c r="J17" s="406">
        <f>J$15-J$16+IF(AND(OR('Company Information'!$C$12="District of Columbia",'Company Information'!$C$12="Massachusetts",'Company Information'!$C$12="Vermont"),SUM($H$6:$K$11,$H$15:$K$16,$H$38:$I$38)&lt;&gt;0),E$15-E$16,0)</f>
        <v>323</v>
      </c>
      <c r="K17" s="406">
        <f>K$15-K$16+IF(AND(OR('Company Information'!$C$12="District of Columbia",'Company Information'!$C$12="Massachusetts",'Company Information'!$C$12="Vermont"),SUM($H$6:$K$11,$H$15:$K$16,$H$38:$I$38)&lt;&gt;0),F$15-F$16,0)</f>
        <v>300</v>
      </c>
      <c r="L17" s="456"/>
      <c r="M17" s="405">
        <f>M$15-M$16</f>
        <v>25847684</v>
      </c>
      <c r="N17" s="406">
        <f>N$15-N$16</f>
        <v>43839695</v>
      </c>
      <c r="O17" s="406">
        <f>O$15-O$16</f>
        <v>56515111</v>
      </c>
      <c r="P17" s="406">
        <f>P$15-P$16</f>
        <v>126202490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26.8767</v>
      </c>
      <c r="D38" s="411">
        <v>0.60499999999999998</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27.4817</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5419.5582999999997</v>
      </c>
      <c r="N38" s="411">
        <v>10264.549199999999</v>
      </c>
      <c r="O38" s="438">
        <f>('Pt 1 Summary of Data'!Q$59+'Pt 1 Summary of Data'!S$59-'Pt 1 Summary of Data'!T$59)/12</f>
        <v>13211.333333333334</v>
      </c>
      <c r="P38" s="438">
        <f>SUM(M$38:O$38)</f>
        <v>28895.440833333334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1.5376729466666668E-2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1.5376729466666668E-2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0.80442205189447535</v>
      </c>
      <c r="N45" s="442">
        <f>IF(OR(N$38&lt;1000,N$17&lt;=0),"",N$12/N$17)</f>
        <v>0.95809548857490912</v>
      </c>
      <c r="O45" s="442">
        <f>IF(OR(O$38&lt;1000,O$17&lt;=0),"",O$12/O$17)</f>
        <v>0.82850423845049159</v>
      </c>
      <c r="P45" s="442">
        <f>IF(OR(P$38&lt;1000,P$17&lt;=0),"",P$12/P$17)</f>
        <v>0.86858880518126069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1.5376729466666668E-2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0.88400000000000001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0.88400000000000001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56515111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49897</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31865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6236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