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44" i="10"/>
  <c r="N17" i="10"/>
  <c r="N12" i="10"/>
  <c r="M17" i="10"/>
  <c r="M12" i="10"/>
  <c r="L35" i="10"/>
  <c r="L34" i="10"/>
  <c r="L22" i="10"/>
  <c r="L16" i="10"/>
  <c r="L10" i="10"/>
  <c r="K49" i="10"/>
  <c r="K40" i="10"/>
  <c r="K11" i="10"/>
  <c r="K10" i="10"/>
  <c r="J11" i="10"/>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s="1"/>
  <c r="V22" i="4" s="1"/>
  <c r="V36" i="18"/>
  <c r="V54" i="18" s="1"/>
  <c r="V12" i="4" s="1"/>
  <c r="S6" i="10" s="1"/>
  <c r="V35" i="18"/>
  <c r="V11" i="18"/>
  <c r="V10" i="18"/>
  <c r="V6" i="18"/>
  <c r="U55" i="18"/>
  <c r="U54" i="18"/>
  <c r="U12" i="18"/>
  <c r="U11" i="18"/>
  <c r="U9" i="18"/>
  <c r="Q56" i="18"/>
  <c r="Q55" i="18" s="1"/>
  <c r="Q22" i="4" s="1"/>
  <c r="Q54" i="18"/>
  <c r="Q36" i="18"/>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c r="E54" i="18"/>
  <c r="E36" i="18"/>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12" i="4"/>
  <c r="O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12" i="4"/>
  <c r="E6" i="10" s="1"/>
  <c r="E7" i="4"/>
  <c r="E6" i="4"/>
  <c r="E5" i="4"/>
  <c r="E15" i="10" s="1"/>
  <c r="D60" i="4"/>
  <c r="D22" i="4"/>
  <c r="D12" i="4"/>
  <c r="D5" i="4"/>
  <c r="F15" i="10" l="1"/>
  <c r="E17" i="10"/>
  <c r="L19" i="10"/>
  <c r="P37" i="10"/>
  <c r="T37" i="10"/>
  <c r="AB37" i="10"/>
  <c r="E44" i="10"/>
  <c r="F37" i="10"/>
  <c r="K6" i="10"/>
  <c r="I17" i="10" s="1"/>
  <c r="I44" i="10" s="1"/>
  <c r="C17" i="10"/>
  <c r="D17" i="10"/>
  <c r="D44" i="10" s="1"/>
  <c r="D12" i="10"/>
  <c r="F6" i="10"/>
  <c r="L29" i="10"/>
  <c r="L21" i="10"/>
  <c r="P15" i="10"/>
  <c r="P17" i="10" s="1"/>
  <c r="O17" i="10"/>
  <c r="L28" i="10"/>
  <c r="T6" i="10"/>
  <c r="R17" i="10" s="1"/>
  <c r="R45" i="10" s="1"/>
  <c r="S13" i="10"/>
  <c r="T15" i="10"/>
  <c r="AA13" i="10"/>
  <c r="AB6" i="10"/>
  <c r="AB13" i="10" s="1"/>
  <c r="K15" i="10"/>
  <c r="K37" i="10"/>
  <c r="P6" i="10"/>
  <c r="X37" i="10"/>
  <c r="X6" i="10"/>
  <c r="J7" i="10"/>
  <c r="K7" i="10" s="1"/>
  <c r="M44" i="10"/>
  <c r="S7" i="10"/>
  <c r="T7" i="10" s="1"/>
  <c r="Z45" i="10"/>
  <c r="AA15" i="10"/>
  <c r="E7" i="10"/>
  <c r="F7" i="10" s="1"/>
  <c r="L7" i="10"/>
  <c r="L25" i="10" s="1"/>
  <c r="O7" i="10"/>
  <c r="P7" i="10" s="1"/>
  <c r="W15" i="10"/>
  <c r="G7" i="10"/>
  <c r="G20" i="10" s="1"/>
  <c r="C44" i="10" l="1"/>
  <c r="F38" i="10" s="1"/>
  <c r="T51" i="10"/>
  <c r="T52" i="10" s="1"/>
  <c r="F11" i="16" s="1"/>
  <c r="T46" i="10"/>
  <c r="T38" i="10"/>
  <c r="T45" i="10"/>
  <c r="T47" i="10" s="1"/>
  <c r="T50" i="10" s="1"/>
  <c r="T41" i="10"/>
  <c r="J17" i="10"/>
  <c r="J44" i="10" s="1"/>
  <c r="G21" i="10"/>
  <c r="R13" i="10"/>
  <c r="Q17" i="10"/>
  <c r="G19" i="10"/>
  <c r="G24" i="10" s="1"/>
  <c r="C12" i="10"/>
  <c r="F12" i="10" s="1"/>
  <c r="I12" i="10"/>
  <c r="H17" i="10"/>
  <c r="G25" i="10"/>
  <c r="L20" i="10"/>
  <c r="AA17" i="10"/>
  <c r="AA45" i="10" s="1"/>
  <c r="AB15" i="10"/>
  <c r="AB17" i="10" s="1"/>
  <c r="K51" i="10"/>
  <c r="K52" i="10" s="1"/>
  <c r="D11" i="16" s="1"/>
  <c r="K46" i="10"/>
  <c r="K41" i="10"/>
  <c r="G28" i="10"/>
  <c r="O12" i="10"/>
  <c r="P12" i="10" s="1"/>
  <c r="P44" i="10" s="1"/>
  <c r="K17" i="10"/>
  <c r="K44" i="10" s="1"/>
  <c r="K47" i="10" s="1"/>
  <c r="K50" i="10" s="1"/>
  <c r="G29" i="10"/>
  <c r="S17" i="10"/>
  <c r="S45" i="10" s="1"/>
  <c r="Q13" i="10"/>
  <c r="H12" i="10"/>
  <c r="J12" i="10"/>
  <c r="P51" i="10"/>
  <c r="W17" i="10"/>
  <c r="W45" i="10" s="1"/>
  <c r="X15" i="10"/>
  <c r="X41" i="10"/>
  <c r="X51" i="10"/>
  <c r="X52" i="10" s="1"/>
  <c r="G11" i="16" s="1"/>
  <c r="X46" i="10"/>
  <c r="X38" i="10"/>
  <c r="T17" i="10"/>
  <c r="E12" i="10"/>
  <c r="F51" i="10"/>
  <c r="F52" i="10" s="1"/>
  <c r="C11" i="16" s="1"/>
  <c r="F46" i="10"/>
  <c r="F44" i="10"/>
  <c r="F47" i="10" s="1"/>
  <c r="F50" i="10" s="1"/>
  <c r="F41" i="10"/>
  <c r="AB45" i="10"/>
  <c r="AB47" i="10" s="1"/>
  <c r="AB50" i="10" s="1"/>
  <c r="AB41" i="10"/>
  <c r="AB51" i="10"/>
  <c r="AB52" i="10" s="1"/>
  <c r="H11" i="16" s="1"/>
  <c r="AB46" i="10"/>
  <c r="AB38" i="10"/>
  <c r="F17" i="10"/>
  <c r="G23" i="10" l="1"/>
  <c r="G27" i="10" s="1"/>
  <c r="O44" i="10"/>
  <c r="P38" i="10" s="1"/>
  <c r="P41" i="10" s="1"/>
  <c r="P46" i="10" s="1"/>
  <c r="P47" i="10" s="1"/>
  <c r="P50" i="10" s="1"/>
  <c r="P52" i="10" s="1"/>
  <c r="E11" i="16" s="1"/>
  <c r="X17" i="10"/>
  <c r="X45" i="10" s="1"/>
  <c r="X47" i="10" s="1"/>
  <c r="X50" i="10" s="1"/>
  <c r="V13" i="10"/>
  <c r="V17" i="10"/>
  <c r="V45" i="10" s="1"/>
  <c r="U17" i="10"/>
  <c r="H44" i="10"/>
  <c r="K38" i="10" s="1"/>
  <c r="K12" i="10"/>
  <c r="Q45" i="10"/>
  <c r="T13" i="10"/>
  <c r="U13" i="10"/>
  <c r="L24" i="10"/>
  <c r="L23" i="10" s="1"/>
  <c r="L27" i="10" s="1"/>
  <c r="W13" i="10"/>
  <c r="L31" i="10" l="1"/>
  <c r="L32" i="10" s="1"/>
  <c r="L33" i="10" s="1"/>
  <c r="L26" i="10"/>
  <c r="L30" i="10" s="1"/>
  <c r="U45" i="10"/>
  <c r="X13" i="10"/>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<sst xmlns="http://schemas.openxmlformats.org/spreadsheetml/2006/main" count="568" uniqueCount="506">
  <si>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</si>
  <si>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</si>
  <si>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</si>
  <si>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</si>
  <si>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</si>
  <si>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</si>
  <si>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</si>
  <si>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</si>
  <si>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</si>
  <si>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</si>
  <si>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</si>
  <si>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</si>
  <si>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</si>
  <si>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</si>
  <si>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</si>
  <si>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</si>
  <si>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</si>
  <si>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</si>
  <si>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</si>
  <si>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</si>
  <si>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</si>
  <si>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</si>
  <si>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</si>
  <si>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</si>
  <si>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</si>
  <si>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</si>
  <si>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</si>
  <si>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</si>
  <si>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</si>
  <si>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</si>
  <si>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</si>
  <si>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</si>
  <si>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</si>
  <si>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</si>
  <si>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</si>
  <si>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</si>
  <si>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</si>
  <si>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</si>
  <si>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</si>
  <si>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</si>
  <si>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</si>
  <si>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</si>
  <si>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</si>
  <si>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</si>
  <si>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</si>
  <si>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</si>
  <si>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</si>
  <si>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</si>
  <si>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</si>
  <si>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</si>
  <si>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</si>
  <si>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</si>
  <si>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</si>
  <si>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</si>
  <si>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</si>
  <si>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</si>
  <si>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</si>
  <si>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</si>
  <si>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</si>
  <si>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</si>
  <si>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</si>
  <si>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</si>
  <si>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</si>
  <si>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</si>
  <si>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</si>
  <si>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</si>
  <si>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</si>
  <si>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</si>
  <si>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</si>
  <si>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</si>
  <si>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</si>
  <si>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</si>
  <si>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</si>
  <si>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</si>
  <si>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</si>
  <si>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</si>
  <si>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</si>
  <si>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</si>
  <si>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</si>
  <si>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</si>
  <si>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</si>
  <si>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</si>
  <si>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</si>
  <si>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</si>
  <si>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</si>
  <si>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</si>
  <si>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</si>
  <si>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</si>
  <si>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</si>
  <si>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</si>
  <si>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</si>
  <si>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</si>
  <si>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</si>
  <si>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</si>
  <si>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</si>
  <si>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</si>
  <si>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</si>
  <si>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</si>
  <si>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</si>
  <si>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</si>
  <si>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</si>
  <si>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</si>
  <si>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</si>
  <si>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</si>
  <si>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</si>
  <si>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</si>
  <si>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</si>
  <si>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</si>
  <si>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</si>
  <si>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</si>
  <si>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</si>
  <si>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</si>
  <si>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</si>
  <si>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</si>
  <si>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</si>
  <si>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</si>
  <si>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</si>
  <si>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</si>
  <si>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</si>
  <si>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</si>
  <si>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</si>
  <si>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</si>
  <si>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</si>
  <si>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</si>
  <si>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</si>
  <si>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</si>
  <si>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</si>
  <si>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</si>
  <si>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</si>
  <si>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</si>
  <si>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</si>
  <si>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</si>
  <si>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</si>
  <si>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</si>
  <si>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</si>
  <si>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</si>
  <si>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</si>
  <si>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</si>
  <si>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</si>
  <si>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</si>
  <si>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</si>
  <si>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</si>
  <si>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</si>
  <si>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</si>
  <si>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</si>
  <si>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</si>
  <si>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</si>
  <si>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</si>
  <si>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</si>
  <si>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</si>
  <si>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</si>
  <si>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</si>
  <si>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</si>
  <si>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</si>
  <si>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</si>
  <si>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</si>
  <si>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</si>
  <si>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</si>
  <si>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</si>
  <si>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</si>
  <si>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</si>
  <si>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</si>
  <si>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</si>
  <si>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</si>
  <si>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</si>
  <si>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</si>
  <si>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</si>
  <si>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</si>
  <si>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</si>
  <si>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</si>
  <si>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</si>
  <si>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</si>
  <si>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</si>
  <si>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</si>
  <si>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</si>
  <si>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</si>
  <si>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</si>
  <si>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</si>
  <si>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</si>
  <si>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</si>
  <si>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</si>
  <si>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</si>
  <si>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</si>
  <si>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</si>
  <si>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</si>
  <si>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</si>
  <si>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</si>
  <si>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</si>
  <si>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</si>
  <si>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</si>
  <si>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</si>
  <si>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</si>
  <si>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</si>
  <si>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</si>
  <si>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</si>
  <si>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</si>
  <si>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</si>
  <si>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</si>
  <si>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</si>
  <si>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</si>
  <si>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</si>
  <si>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</si>
  <si>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</si>
  <si>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</si>
  <si>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</si>
  <si>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</si>
  <si>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</si>
  <si>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</si>
  <si>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</si>
  <si>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</si>
  <si>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</si>
  <si>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</si>
  <si>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</si>
  <si>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</si>
  <si>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</si>
  <si>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</si>
  <si>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</si>
  <si>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</si>
  <si>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</si>
  <si>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</si>
  <si>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</si>
  <si>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</si>
  <si>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</si>
  <si>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</si>
  <si>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</si>
  <si>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</si>
  <si>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</si>
  <si>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</si>
  <si>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</si>
  <si>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</si>
  <si>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</si>
  <si>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</si>
  <si>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</si>
  <si>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</si>
  <si>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</si>
  <si>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</si>
  <si>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</si>
  <si>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</si>
  <si>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</si>
  <si>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</si>
  <si>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</si>
  <si>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</si>
  <si>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</si>
  <si>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</si>
  <si>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</si>
  <si>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</si>
  <si>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</si>
  <si>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</si>
  <si>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</si>
  <si>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</si>
  <si>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</si>
  <si>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</si>
  <si>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</si>
  <si>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</si>
  <si>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</si>
  <si>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</si>
  <si>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</si>
  <si>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</si>
  <si>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</si>
  <si>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</si>
  <si>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</si>
  <si>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</si>
  <si>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</si>
  <si>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</si>
  <si>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</si>
  <si>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</si>
  <si>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</si>
  <si>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</si>
  <si>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</si>
  <si>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</si>
  <si>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</si>
  <si>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</si>
  <si>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</si>
  <si>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</si>
  <si>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</si>
  <si>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</si>
  <si>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</si>
  <si>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</si>
  <si>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</si>
  <si>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</si>
  <si>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</si>
  <si>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</si>
  <si>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</si>
  <si>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</si>
  <si>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</si>
  <si>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</si>
  <si>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</si>
  <si>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</si>
  <si>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</si>
  <si>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</si>
  <si>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</si>
  <si>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</si>
  <si>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</si>
  <si>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</si>
  <si>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</si>
  <si>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</si>
  <si>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</si>
  <si>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</si>
  <si>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</si>
  <si>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</si>
  <si>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</si>
  <si>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</si>
  <si>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</si>
  <si>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</si>
  <si>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</si>
  <si>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</si>
  <si>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</si>
  <si>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</si>
  <si>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</si>
  <si>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</si>
  <si>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</si>
  <si>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</si>
  <si>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</si>
  <si>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</si>
  <si>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</si>
  <si>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</si>
  <si>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</si>
  <si>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</si>
  <si>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</si>
  <si>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</si>
  <si>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</si>
  <si>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</si>
  <si>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</si>
  <si>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</si>
  <si>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</si>
  <si>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</si>
  <si>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</si>
  <si>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</si>
  <si>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</si>
  <si>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</si>
  <si>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</si>
  <si>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</si>
  <si>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</si>
  <si>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</si>
  <si>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</si>
  <si>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</si>
  <si>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</si>
  <si>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</si>
  <si>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</si>
  <si>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</si>
  <si>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</si>
  <si>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</si>
  <si>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</si>
  <si>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</si>
  <si>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</si>
  <si>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</si>
  <si>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</si>
  <si>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</si>
  <si>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</si>
  <si>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</si>
  <si>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</si>
  <si>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</si>
  <si>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</si>
  <si>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</si>
  <si>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</si>
  <si>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</si>
  <si>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</si>
  <si>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</si>
  <si>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</si>
  <si>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</si>
  <si>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</si>
  <si>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</si>
  <si>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</si>
  <si>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</si>
  <si>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</si>
  <si>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</si>
  <si>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</si>
  <si>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</si>
  <si>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</si>
  <si>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</si>
  <si>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</si>
  <si>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</si>
  <si>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</si>
  <si>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</si>
  <si>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</si>
  <si>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</si>
  <si>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</si>
  <si>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</si>
  <si>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</si>
  <si>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</si>
  <si>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</si>
  <si>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</si>
  <si>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</si>
  <si>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</si>
  <si>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</si>
  <si>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</si>
  <si>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</si>
  <si>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</si>
  <si>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</si>
  <si>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</si>
  <si>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</si>
  <si>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</si>
  <si>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</si>
  <si>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</si>
  <si>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</si>
  <si>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</si>
  <si>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</si>
  <si>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</si>
  <si>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</si>
  <si>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</si>
  <si>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</si>
  <si>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</si>
  <si>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</si>
  <si>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</si>
  <si>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</si>
  <si>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</si>
  <si>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</si>
  <si>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</si>
  <si>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</si>
  <si>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</si>
  <si>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</si>
  <si>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</si>
  <si>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</si>
  <si>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</si>
  <si>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</si>
  <si>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</si>
  <si>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</si>
  <si>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</si>
  <si>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</si>
  <si>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</si>
  <si>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</si>
  <si>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</si>
  <si>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</si>
  <si>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</si>
  <si>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</si>
  <si>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</si>
  <si>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</si>
  <si>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</si>
  <si>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</si>
  <si>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</si>
  <si>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</si>
  <si>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</si>
  <si>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</si>
  <si>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</si>
  <si>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</si>
  <si>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</si>
  <si>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</si>
  <si>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</si>
  <si>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</si>
  <si>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</si>
  <si>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</si>
  <si>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</si>
  <si>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</si>
  <si>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</si>
  <si>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</si>
  <si>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</si>
  <si>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</si>
  <si>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</si>
  <si>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</si>
  <si>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</si>
  <si>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</si>
  <si>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</si>
  <si>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</si>
  <si>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</si>
  <si>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</si>
  <si>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</si>
  <si>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</si>
  <si>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</si>
  <si>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</si>
  <si>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</si>
  <si>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</si>
  <si>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</si>
  <si>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</si>
  <si>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</si>
  <si>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</si>
  <si>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</si>
  <si>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</si>
  <si>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</si>
  <si>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</si>
  <si>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</si>
  <si>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</si>
  <si>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</si>
  <si>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</si>
  <si>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</si>
  <si>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</si>
  <si>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</si>
  <si>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</si>
  <si>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</si>
  <si>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</si>
  <si>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</si>
  <si>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</si>
  <si>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</si>
  <si>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</si>
  <si>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</si>
  <si>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</si>
  <si>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</si>
  <si>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</si>
  <si>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</si>
  <si>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</si>
  <si>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</si>
  <si>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</si>
  <si>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</si>
  <si>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</si>
  <si>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</si>
  <si>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</si>
  <si>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</si>
  <si>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</si>
  <si>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</si>
  <si>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</si>
  <si>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</si>
  <si>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</si>
  <si>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</si>
  <si>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</si>
  <si>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76763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</si>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</sst>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16184133</v>
      </c>
      <c r="Q5" s="112">
        <f>'Pt 2 Premium and Claims'!Q5+'Pt 2 Premium and Claims'!Q6-'Pt 2 Premium and Claims'!Q7-'Pt 2 Premium and Claims'!Q13+'Pt 2 Premium and Claims'!Q14</f>
        <v>16231131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9152268</v>
      </c>
      <c r="AT5" s="113">
        <f>'Pt 2 Premium and Claims'!AT5+'Pt 2 Premium and Claims'!AT6-'Pt 2 Premium and Claims'!AT7-'Pt 2 Premium and Claims'!AT13+'Pt 2 Premium and Claims'!AT14</f>
        <v>10706015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-18922</v>
      </c>
      <c r="Q7" s="116">
        <f>P7</f>
        <v>-18922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-12517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12338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-5870</v>
      </c>
      <c r="E12" s="112">
        <f>'Pt 2 Premium and Claims'!E54</f>
        <v>-1300</v>
      </c>
      <c r="F12" s="112"/>
      <c r="G12" s="112"/>
      <c r="H12" s="112"/>
      <c r="I12" s="111">
        <f>'Pt 2 Premium and Claims'!I54</f>
        <v>0</v>
      </c>
      <c r="J12" s="111">
        <f>'Pt 2 Premium and Claims'!J54</f>
        <v>-16</v>
      </c>
      <c r="K12" s="112">
        <f>'Pt 2 Premium and Claims'!K54</f>
        <v>-15</v>
      </c>
      <c r="L12" s="112"/>
      <c r="M12" s="112"/>
      <c r="N12" s="112"/>
      <c r="O12" s="111">
        <f>'Pt 2 Premium and Claims'!O54</f>
        <v>0</v>
      </c>
      <c r="P12" s="111">
        <f>'Pt 2 Premium and Claims'!P54</f>
        <v>16062707</v>
      </c>
      <c r="Q12" s="112">
        <f>'Pt 2 Premium and Claims'!Q54</f>
        <v>16605560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8649495</v>
      </c>
      <c r="AT12" s="113">
        <f>'Pt 2 Premium and Claims'!AT54</f>
        <v>11233371</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2332521</v>
      </c>
      <c r="Q13" s="116">
        <v>2358072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11594753</v>
      </c>
      <c r="AT13" s="119">
        <v>0</v>
      </c>
      <c r="AU13" s="119">
        <v>0</v>
      </c>
      <c r="AV13" s="317"/>
      <c r="AW13" s="324"/>
    </row>
    <row r="14" spans="1:49" ht="25.5" x14ac:dyDescent="0.2">
      <c r="B14" s="161" t="s">
        <v>231</v>
      </c>
      <c r="C14" s="68" t="s">
        <v>6</v>
      </c>
      <c r="D14" s="115">
        <v>0</v>
      </c>
      <c r="E14" s="116">
        <v>1</v>
      </c>
      <c r="F14" s="116"/>
      <c r="G14" s="294"/>
      <c r="H14" s="297"/>
      <c r="I14" s="115">
        <v>0</v>
      </c>
      <c r="J14" s="115">
        <v>0</v>
      </c>
      <c r="K14" s="116">
        <v>-1</v>
      </c>
      <c r="L14" s="116"/>
      <c r="M14" s="294"/>
      <c r="N14" s="297"/>
      <c r="O14" s="115">
        <v>0</v>
      </c>
      <c r="P14" s="115">
        <v>362544</v>
      </c>
      <c r="Q14" s="116">
        <v>185424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3341610</v>
      </c>
      <c r="AT14" s="119">
        <v>35901</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244</v>
      </c>
      <c r="Q15" s="116">
        <v>248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-518</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-135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2234</v>
      </c>
      <c r="E25" s="116">
        <f>D25</f>
        <v>2234</v>
      </c>
      <c r="F25" s="116"/>
      <c r="G25" s="116"/>
      <c r="H25" s="116"/>
      <c r="I25" s="115">
        <v>0</v>
      </c>
      <c r="J25" s="115">
        <v>5</v>
      </c>
      <c r="K25" s="116">
        <f>J25</f>
        <v>5</v>
      </c>
      <c r="L25" s="116"/>
      <c r="M25" s="116"/>
      <c r="N25" s="116"/>
      <c r="O25" s="115">
        <v>0</v>
      </c>
      <c r="P25" s="115">
        <v>-442001</v>
      </c>
      <c r="Q25" s="116">
        <f>P25</f>
        <v>-442001</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-107804</v>
      </c>
      <c r="AT25" s="119">
        <v>-503939</v>
      </c>
      <c r="AU25" s="119">
        <v>0</v>
      </c>
      <c r="AV25" s="119">
        <v>4580011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15073</v>
      </c>
      <c r="Q26" s="116">
        <f>P26</f>
        <v>15073</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294463</v>
      </c>
      <c r="Q27" s="116">
        <f>P27</f>
        <v>294463</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145234</v>
      </c>
      <c r="AT27" s="119">
        <v>37368</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52092</v>
      </c>
      <c r="Q28" s="116">
        <f>P28</f>
        <v>52092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7736</v>
      </c>
      <c r="AT28" s="119">
        <v>14670</v>
      </c>
      <c r="AU28" s="119">
        <v>0</v>
      </c>
      <c r="AV28" s="119">
        <v>324104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50546</v>
      </c>
      <c r="Q30" s="116">
        <f>P30</f>
        <v>50546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32965</v>
      </c>
      <c r="AU30" s="119">
        <v>0</v>
      </c>
      <c r="AV30" s="119">
        <v>10084</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282767</v>
      </c>
      <c r="Q31" s="116">
        <f>P31</f>
        <v>282767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187054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436763</v>
      </c>
      <c r="Q34" s="116">
        <f>P34</f>
        <v>436763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4547</v>
      </c>
      <c r="Q35" s="116">
        <f>P35</f>
        <v>4547</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566</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8949</v>
      </c>
      <c r="Q37" s="124">
        <v>8895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194142</v>
      </c>
      <c r="AT37" s="125">
        <v>204</v>
      </c>
      <c r="AU37" s="125">
        <v>0</v>
      </c>
      <c r="AV37" s="125">
        <v>395350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593</v>
      </c>
      <c r="Q38" s="116">
        <v>605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15</v>
      </c>
      <c r="AU38" s="119">
        <v>0</v>
      </c>
      <c r="AV38" s="119">
        <v>32081</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12184</v>
      </c>
      <c r="Q39" s="116">
        <v>12912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220</v>
      </c>
      <c r="AU39" s="119">
        <v>0</v>
      </c>
      <c r="AV39" s="119">
        <v>11191</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2202</v>
      </c>
      <c r="Q40" s="116">
        <v>2190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315</v>
      </c>
      <c r="AU40" s="119">
        <v>0</v>
      </c>
      <c r="AV40" s="119">
        <v>67260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7540</v>
      </c>
      <c r="Q41" s="116">
        <v>7540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1163</v>
      </c>
      <c r="AU41" s="119">
        <v>0</v>
      </c>
      <c r="AV41" s="119">
        <v>157252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2360</v>
      </c>
      <c r="Q42" s="116">
        <f>P42</f>
        <v>2360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27275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0</v>
      </c>
      <c r="F44" s="124"/>
      <c r="G44" s="124"/>
      <c r="H44" s="124"/>
      <c r="I44" s="123">
        <v>0</v>
      </c>
      <c r="J44" s="123">
        <v>0</v>
      </c>
      <c r="K44" s="124">
        <v>0</v>
      </c>
      <c r="L44" s="124"/>
      <c r="M44" s="124"/>
      <c r="N44" s="124"/>
      <c r="O44" s="123">
        <v>0</v>
      </c>
      <c r="P44" s="123">
        <v>430605</v>
      </c>
      <c r="Q44" s="124">
        <v>441409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8333</v>
      </c>
      <c r="AU44" s="125">
        <v>0</v>
      </c>
      <c r="AV44" s="125">
        <v>1608980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7186</v>
      </c>
      <c r="Q45" s="116">
        <f>P45</f>
        <v>7186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392</v>
      </c>
      <c r="AT45" s="119">
        <v>1913</v>
      </c>
      <c r="AU45" s="119">
        <v>0</v>
      </c>
      <c r="AV45" s="119">
        <v>2434</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74250</v>
      </c>
      <c r="Q46" s="116">
        <f>P46</f>
        <v>74250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40988</v>
      </c>
      <c r="AU46" s="119">
        <v>0</v>
      </c>
      <c r="AV46" s="119">
        <v>549960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343957</v>
      </c>
      <c r="Q47" s="116">
        <f>P47</f>
        <v>343957</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231699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-240</v>
      </c>
      <c r="Q49" s="116">
        <f>P49</f>
        <v>-240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297</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15837</v>
      </c>
      <c r="Q50" s="116">
        <f>P50</f>
        <v>15837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12678</v>
      </c>
      <c r="AT50" s="119">
        <v>1412</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374995</v>
      </c>
      <c r="Q51" s="116">
        <f>P51</f>
        <v>374995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638422</v>
      </c>
      <c r="AT51" s="119">
        <v>403145</v>
      </c>
      <c r="AU51" s="119">
        <v>0</v>
      </c>
      <c r="AV51" s="119">
        <v>9648383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2624</v>
      </c>
      <c r="Q53" s="116">
        <f>P53</f>
        <v>2624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548</v>
      </c>
      <c r="AT53" s="119">
        <v>644</v>
      </c>
      <c r="AU53" s="119">
        <v>0</v>
      </c>
      <c r="AV53" s="119">
        <v>34121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25957485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1941</v>
      </c>
      <c r="Q56" s="128">
        <f>P56</f>
        <v>1941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8221</v>
      </c>
      <c r="AT56" s="129">
        <v>5437</v>
      </c>
      <c r="AU56" s="129">
        <v>0</v>
      </c>
      <c r="AV56" s="129">
        <v>43914</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4176</v>
      </c>
      <c r="Q57" s="131">
        <f>P57</f>
        <v>4176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8221</v>
      </c>
      <c r="AT57" s="132">
        <v>11302</v>
      </c>
      <c r="AU57" s="132">
        <v>0</v>
      </c>
      <c r="AV57" s="132">
        <v>99503</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6</v>
      </c>
      <c r="Q58" s="131">
        <f>P58</f>
        <v>6</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10</v>
      </c>
      <c r="AU58" s="132">
        <v>0</v>
      </c>
      <c r="AV58" s="132">
        <v>55</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46907</v>
      </c>
      <c r="Q59" s="131">
        <v>46907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97385</v>
      </c>
      <c r="AT59" s="132">
        <v>114364</v>
      </c>
      <c r="AU59" s="132">
        <v>0</v>
      </c>
      <c r="AV59" s="132">
        <v>1215804</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3908.9166666666665</v>
      </c>
      <c r="Q60" s="134">
        <f>Q59/12</f>
        <v>3908.9166666666665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8115.416666666667</v>
      </c>
      <c r="AT60" s="135">
        <f>AT59/12</f>
        <v>9530.3333333333339</v>
      </c>
      <c r="AU60" s="135">
        <f>AU59/12</f>
        <v>0</v>
      </c>
      <c r="AV60" s="135">
        <f>AV59/12</f>
        <v>101317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765775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259676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18369</v>
      </c>
      <c r="E5" s="124">
        <v>0</v>
      </c>
      <c r="F5" s="124"/>
      <c r="G5" s="136"/>
      <c r="H5" s="136"/>
      <c r="I5" s="123">
        <v>0</v>
      </c>
      <c r="J5" s="123">
        <v>0</v>
      </c>
      <c r="K5" s="124">
        <v>0</v>
      </c>
      <c r="L5" s="124"/>
      <c r="M5" s="124"/>
      <c r="N5" s="124"/>
      <c r="O5" s="123">
        <v>0</v>
      </c>
      <c r="P5" s="123">
        <v>16065248</v>
      </c>
      <c r="Q5" s="124">
        <v>16050983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9155386</v>
      </c>
      <c r="AT5" s="125">
        <v>10774277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180156</v>
      </c>
      <c r="Q6" s="116">
        <v>180156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27615</v>
      </c>
      <c r="AT6" s="119">
        <v>14838</v>
      </c>
      <c r="AU6" s="119">
        <v>0</v>
      </c>
      <c r="AV6" s="317"/>
      <c r="AW6" s="324"/>
    </row>
    <row r="7" spans="2:49" x14ac:dyDescent="0.2">
      <c r="B7" s="182" t="s">
        <v>280</v>
      </c>
      <c r="C7" s="139" t="s">
        <v>9</v>
      </c>
      <c r="D7" s="115">
        <v>18369</v>
      </c>
      <c r="E7" s="116"/>
      <c r="F7" s="116"/>
      <c r="G7" s="117"/>
      <c r="H7" s="117"/>
      <c r="I7" s="115"/>
      <c r="J7" s="115">
        <v>0</v>
      </c>
      <c r="K7" s="116"/>
      <c r="L7" s="116"/>
      <c r="M7" s="116"/>
      <c r="N7" s="116"/>
      <c r="O7" s="115"/>
      <c r="P7" s="115">
        <v>61263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30515</v>
      </c>
      <c r="AT7" s="119">
        <v>83055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3694</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3694</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-4954</v>
      </c>
      <c r="F11" s="116"/>
      <c r="G11" s="116"/>
      <c r="H11" s="116"/>
      <c r="I11" s="115">
        <f>0</f>
        <v>0</v>
      </c>
      <c r="J11" s="115">
        <f>J41</f>
        <v>0</v>
      </c>
      <c r="K11" s="116">
        <f>K42</f>
        <v>0</v>
      </c>
      <c r="L11" s="116"/>
      <c r="M11" s="116"/>
      <c r="N11" s="116"/>
      <c r="O11" s="115">
        <f>0</f>
        <v>0</v>
      </c>
      <c r="P11" s="115">
        <f>P41</f>
        <v>278349</v>
      </c>
      <c r="Q11" s="116">
        <f>Q42</f>
        <v>278349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4954</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8</v>
      </c>
      <c r="Q13" s="116">
        <v>8</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218</v>
      </c>
      <c r="AT13" s="119">
        <v>45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v>
      </c>
      <c r="E23" s="294"/>
      <c r="F23" s="294"/>
      <c r="G23" s="294"/>
      <c r="H23" s="294"/>
      <c r="I23" s="298"/>
      <c r="J23" s="115">
        <v>-15</v>
      </c>
      <c r="K23" s="294"/>
      <c r="L23" s="294"/>
      <c r="M23" s="294"/>
      <c r="N23" s="294"/>
      <c r="O23" s="298"/>
      <c r="P23" s="115">
        <v>14352295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10251270</v>
      </c>
      <c r="AT23" s="119">
        <v>11098873</v>
      </c>
      <c r="AU23" s="119">
        <v>0</v>
      </c>
      <c r="AV23" s="317"/>
      <c r="AW23" s="324"/>
    </row>
    <row r="24" spans="2:49" ht="28.5" customHeight="1" x14ac:dyDescent="0.2">
      <c r="B24" s="184" t="s">
        <v>114</v>
      </c>
      <c r="C24" s="139"/>
      <c r="D24" s="299"/>
      <c r="E24" s="116">
        <v>-10</v>
      </c>
      <c r="F24" s="116"/>
      <c r="G24" s="116"/>
      <c r="H24" s="116"/>
      <c r="I24" s="115">
        <v>0</v>
      </c>
      <c r="J24" s="299"/>
      <c r="K24" s="116">
        <v>-15</v>
      </c>
      <c r="L24" s="116"/>
      <c r="M24" s="116"/>
      <c r="N24" s="116"/>
      <c r="O24" s="115">
        <v>0</v>
      </c>
      <c r="P24" s="299"/>
      <c r="Q24" s="116">
        <v>15368537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4165451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413707</v>
      </c>
      <c r="AT26" s="119">
        <v>1181130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1033455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4580</v>
      </c>
      <c r="E28" s="295"/>
      <c r="F28" s="295"/>
      <c r="G28" s="295"/>
      <c r="H28" s="295"/>
      <c r="I28" s="299"/>
      <c r="J28" s="115">
        <v>0</v>
      </c>
      <c r="K28" s="295"/>
      <c r="L28" s="295"/>
      <c r="M28" s="295"/>
      <c r="N28" s="295"/>
      <c r="O28" s="299"/>
      <c r="P28" s="115">
        <v>2602766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1035133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28129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39628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11159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11159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30</v>
      </c>
      <c r="E36" s="116">
        <f>D36</f>
        <v>30</v>
      </c>
      <c r="F36" s="116"/>
      <c r="G36" s="116"/>
      <c r="H36" s="116"/>
      <c r="I36" s="115">
        <v>0</v>
      </c>
      <c r="J36" s="115">
        <v>0</v>
      </c>
      <c r="K36" s="116">
        <f>J36</f>
        <v>0</v>
      </c>
      <c r="L36" s="116"/>
      <c r="M36" s="116"/>
      <c r="N36" s="116"/>
      <c r="O36" s="115">
        <v>0</v>
      </c>
      <c r="P36" s="115">
        <v>10726</v>
      </c>
      <c r="Q36" s="116">
        <f>P36</f>
        <v>10726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3694</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3694</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278349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-4954</v>
      </c>
      <c r="F42" s="116"/>
      <c r="G42" s="116"/>
      <c r="H42" s="116"/>
      <c r="I42" s="115">
        <v>0</v>
      </c>
      <c r="J42" s="299"/>
      <c r="K42" s="116">
        <v>0</v>
      </c>
      <c r="L42" s="116"/>
      <c r="M42" s="116"/>
      <c r="N42" s="116"/>
      <c r="O42" s="115">
        <v>0</v>
      </c>
      <c r="P42" s="299"/>
      <c r="Q42" s="116">
        <v>278349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4954</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2847</v>
      </c>
      <c r="Q45" s="116">
        <v>1053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249401</v>
      </c>
      <c r="Q49" s="116">
        <v>76267</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2015482</v>
      </c>
      <c r="AT49" s="119">
        <v>0</v>
      </c>
      <c r="AU49" s="119">
        <v>0</v>
      </c>
      <c r="AV49" s="317"/>
      <c r="AW49" s="324"/>
    </row>
    <row r="50" spans="2:49" x14ac:dyDescent="0.2">
      <c r="B50" s="182" t="s">
        <v>119</v>
      </c>
      <c r="C50" s="139" t="s">
        <v>34</v>
      </c>
      <c r="D50" s="115">
        <v>10</v>
      </c>
      <c r="E50" s="295"/>
      <c r="F50" s="295"/>
      <c r="G50" s="295"/>
      <c r="H50" s="295"/>
      <c r="I50" s="299"/>
      <c r="J50" s="115">
        <v>-1</v>
      </c>
      <c r="K50" s="295"/>
      <c r="L50" s="295"/>
      <c r="M50" s="295"/>
      <c r="N50" s="295"/>
      <c r="O50" s="299"/>
      <c r="P50" s="115">
        <v>115499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-5870</v>
      </c>
      <c r="E54" s="121">
        <f>E24+E27+E31+E35-E36+E39+E42+E45+E46-E49+E51+E52+E53</f>
        <v>-1300</v>
      </c>
      <c r="F54" s="121"/>
      <c r="G54" s="121"/>
      <c r="H54" s="121"/>
      <c r="I54" s="120">
        <f>I24+I27+I31+I35-I36+I39+I42+I45+I46-I49+I51+I52+I53</f>
        <v>0</v>
      </c>
      <c r="J54" s="120">
        <f>J23+J26-J28+J30-J32+J34-J36+J38+J41-J43+J45+J46-J47-J49+J50+J51+J52+J53</f>
        <v>-16</v>
      </c>
      <c r="K54" s="121">
        <f>K24+K27+K31+K35-K36+K39+K42+K45+K46-K49+K51+K52+K53</f>
        <v>-15</v>
      </c>
      <c r="L54" s="121"/>
      <c r="M54" s="121"/>
      <c r="N54" s="121"/>
      <c r="O54" s="120">
        <f>O24+O27+O31+O35-O36+O39+O42+O45+O46-O49+O51+O52+O53</f>
        <v>0</v>
      </c>
      <c r="P54" s="120">
        <f>P23+P26-P28+P30-P32+P34-P36+P38+P41-P43+P45+P46-P47-P49+P50+P51+P52+P53</f>
        <v>16062707</v>
      </c>
      <c r="Q54" s="121">
        <f>Q24+Q27+Q31+Q35-Q36+Q39+Q42+Q45+Q46-Q49+Q51+Q52+Q53</f>
        <v>16605560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8649495</v>
      </c>
      <c r="AT54" s="122">
        <f>AT23+AT26-AT28+AT30-AT32+AT34-AT36+AT38+AT41-AT43+AT45+AT46-AT47-AT49+AT50+AT51+AT52+AT53</f>
        <v>11233371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252.82</v>
      </c>
      <c r="D5" s="124">
        <v>8400</v>
      </c>
      <c r="E5" s="352"/>
      <c r="F5" s="352"/>
      <c r="G5" s="318"/>
      <c r="H5" s="123">
        <v>0</v>
      </c>
      <c r="I5" s="124">
        <v>0</v>
      </c>
      <c r="J5" s="352"/>
      <c r="K5" s="352"/>
      <c r="L5" s="318"/>
      <c r="M5" s="123">
        <v>7369092.9299999997</v>
      </c>
      <c r="N5" s="124">
        <v>9910950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504</v>
      </c>
      <c r="D6" s="116">
        <v>7678</v>
      </c>
      <c r="E6" s="121">
        <f>SUM('Pt 1 Summary of Data'!E$12,'Pt 1 Summary of Data'!E$22)+SUM('Pt 1 Summary of Data'!G$12,'Pt 1 Summary of Data'!G$22)-SUM('Pt 1 Summary of Data'!H$12,'Pt 1 Summary of Data'!H$22)</f>
        <v>-1300</v>
      </c>
      <c r="F6" s="121">
        <f>SUM(C6:E6)</f>
        <v>6882</v>
      </c>
      <c r="G6" s="122">
        <f>'Pt 1 Summary of Data'!I12+'Pt 1 Summary of Data'!I22</f>
        <v>0</v>
      </c>
      <c r="H6" s="115">
        <v>23300</v>
      </c>
      <c r="I6" s="116">
        <v>0</v>
      </c>
      <c r="J6" s="121">
        <f>'Pt 1 Summary of Data'!K12+'Pt 1 Summary of Data'!K22</f>
        <v>-15</v>
      </c>
      <c r="K6" s="121">
        <f>SUM(H6:J6)</f>
        <v>23285</v>
      </c>
      <c r="L6" s="122">
        <f>'Pt 1 Summary of Data'!O12+'Pt 1 Summary of Data'!O22</f>
        <v>0</v>
      </c>
      <c r="M6" s="115">
        <v>7485977</v>
      </c>
      <c r="N6" s="116">
        <v>9681639</v>
      </c>
      <c r="O6" s="121">
        <f>'Pt 1 Summary of Data'!Q12+'Pt 1 Summary of Data'!Q22</f>
        <v>16605560</v>
      </c>
      <c r="P6" s="121">
        <f>SUM(M6:O6)</f>
        <v>33773176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v>
      </c>
      <c r="D7" s="116">
        <v>36</v>
      </c>
      <c r="E7" s="121">
        <f>SUM('Pt 1 Summary of Data'!E37:E41)+MAX(0,MIN('Pt 1 Summary of Data'!E42,0.3%*('Pt 1 Summary of Data'!E5-SUM(E9:E11))))</f>
        <v>0</v>
      </c>
      <c r="F7" s="121">
        <f>SUM(C7:E7)</f>
        <v>38</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63554</v>
      </c>
      <c r="N7" s="116">
        <v>68356</v>
      </c>
      <c r="O7" s="121">
        <f>SUM('Pt 1 Summary of Data'!Q37:Q41)+MAX(0,MIN('Pt 1 Summary of Data'!Q42,0.3%*('Pt 1 Summary of Data'!Q5)))</f>
        <v>34502</v>
      </c>
      <c r="P7" s="121">
        <f>SUM(M7:O7)</f>
        <v>166412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506</v>
      </c>
      <c r="D12" s="121">
        <f>SUM(D$6:D$7)+IF(AND(OR('Company Information'!$C$12="District of Columbia",'Company Information'!$C$12="Massachusetts",'Company Information'!$C$12="Vermont"),SUM($C$6:$F$11,$C$15:$F$16,$C$37:$D$37)&lt;&gt;0),SUM(I$6:I$7),0)</f>
        <v>7714</v>
      </c>
      <c r="E12" s="121">
        <f>SUM(E$6:E$7)-SUM(E$8:E$11)+IF(AND(OR('Company Information'!$C$12="District of Columbia",'Company Information'!$C$12="Massachusetts",'Company Information'!$C$12="Vermont"),SUM($C$6:$F$11,$C$15:$F$16,$C$37:$D$37)&lt;&gt;0),SUM(J$6:J$7)-SUM(J$10:J$11),0)</f>
        <v>-1300</v>
      </c>
      <c r="F12" s="121">
        <f>IFERROR(SUM(C$12:E$12)+C$17*MAX(0,E$49-C$49)+D$17*MAX(0,E$49-D$49),0)</f>
        <v>6920</v>
      </c>
      <c r="G12" s="317"/>
      <c r="H12" s="120">
        <f>SUM(H$6:H$7)+IF(AND(OR('Company Information'!$C$12="District of Columbia",'Company Information'!$C$12="Massachusetts",'Company Information'!$C$12="Vermont"),SUM($H$6:$K$11,$H$15:$K$16,$H$37:$I$37)&lt;&gt;0),SUM(C$6:C$7),0)</f>
        <v>23300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-15</v>
      </c>
      <c r="K12" s="121">
        <f>IFERROR(SUM(H$12:J$12)+H$17*MAX(0,J$49-H$49)+I$17*MAX(0,J$49-I$49),0)</f>
        <v>23285</v>
      </c>
      <c r="L12" s="317"/>
      <c r="M12" s="120">
        <f>SUM(M$6:M$7)</f>
        <v>7549531</v>
      </c>
      <c r="N12" s="121">
        <f>SUM(N$6:N$7)</f>
        <v>9749995</v>
      </c>
      <c r="O12" s="121">
        <f>SUM(O$6:O$7)</f>
        <v>16640062</v>
      </c>
      <c r="P12" s="121">
        <f>SUM(M$12:O$12)+M$17*MAX(0,O$49-M$49)+N$17*MAX(0,O$49-N$49)</f>
        <v>33939588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612</v>
      </c>
      <c r="D15" s="124">
        <v>44720</v>
      </c>
      <c r="E15" s="112">
        <f>SUM('Pt 1 Summary of Data'!E$5:E$7)+SUM('Pt 1 Summary of Data'!G$5:G$7)-SUM('Pt 1 Summary of Data'!H$5:H$7)-SUM(E$9:E$11)+D$55</f>
        <v>0</v>
      </c>
      <c r="F15" s="112">
        <f>SUM(C15:E15)</f>
        <v>45332</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7805442</v>
      </c>
      <c r="N15" s="124">
        <v>7653068</v>
      </c>
      <c r="O15" s="112">
        <f>SUM('Pt 1 Summary of Data'!Q5:Q7)+N55</f>
        <v>16226238</v>
      </c>
      <c r="P15" s="112">
        <f>SUM(M15:O15)</f>
        <v>31684748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28</v>
      </c>
      <c r="D16" s="116">
        <v>12226</v>
      </c>
      <c r="E16" s="121">
        <f>'Pt 1 Summary of Data'!E25+'Pt 1 Summary of Data'!E26+'Pt 1 Summary of Data'!E27+'Pt 1 Summary of Data'!E28+'Pt 1 Summary of Data'!E30+'Pt 1 Summary of Data'!E31+'Pt 1 Summary of Data'!E34+'Pt 1 Summary of Data'!E35+'Pt 3 MLR and Rebate Calculation'!D56</f>
        <v>2234</v>
      </c>
      <c r="F16" s="121">
        <f>SUM(C16:E16)</f>
        <v>14488</v>
      </c>
      <c r="G16" s="122">
        <f>'Pt 1 Summary of Data'!I25+'Pt 1 Summary of Data'!I26+'Pt 1 Summary of Data'!I27+'Pt 1 Summary of Data'!I28+'Pt 1 Summary of Data'!I30+'Pt 1 Summary of Data'!I31+'Pt 1 Summary of Data'!I34+'Pt 1 Summary of Data'!I35</f>
        <v>0</v>
      </c>
      <c r="H16" s="115">
        <v>0</v>
      </c>
      <c r="I16" s="116">
        <v>-8598</v>
      </c>
      <c r="J16" s="121">
        <f>'Pt 1 Summary of Data'!K25+'Pt 1 Summary of Data'!K26+'Pt 1 Summary of Data'!K27+'Pt 1 Summary of Data'!K28+'Pt 1 Summary of Data'!K30+'Pt 1 Summary of Data'!K31+'Pt 1 Summary of Data'!K34+'Pt 1 Summary of Data'!K35+'Pt 3 MLR and Rebate Calculation'!I56</f>
        <v>5</v>
      </c>
      <c r="K16" s="121">
        <f>SUM(H16:J16)</f>
        <v>-8593</v>
      </c>
      <c r="L16" s="122">
        <f>'Pt 1 Summary of Data'!O25+'Pt 1 Summary of Data'!O26+'Pt 1 Summary of Data'!O27+'Pt 1 Summary of Data'!O28+'Pt 1 Summary of Data'!O30+'Pt 1 Summary of Data'!O31+'Pt 1 Summary of Data'!O34+'Pt 1 Summary of Data'!O35</f>
        <v>0</v>
      </c>
      <c r="M16" s="115">
        <v>-19125</v>
      </c>
      <c r="N16" s="116">
        <v>-1230184</v>
      </c>
      <c r="O16" s="121">
        <f>'Pt 1 Summary of Data'!Q25+'Pt 1 Summary of Data'!Q26+'Pt 1 Summary of Data'!Q27+'Pt 1 Summary of Data'!Q28+'Pt 1 Summary of Data'!Q30+'Pt 1 Summary of Data'!Q31+'Pt 1 Summary of Data'!Q34+'Pt 1 Summary of Data'!Q35+'Pt 3 MLR and Rebate Calculation'!N56</f>
        <v>699385</v>
      </c>
      <c r="P16" s="121">
        <f>SUM(M16:O16)</f>
        <v>-549924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584</v>
      </c>
      <c r="D17" s="121">
        <f>D$15-D$16+IF(AND(OR('Company Information'!$C$12="District of Columbia",'Company Information'!$C$12="Massachusetts",'Company Information'!$C$12="Vermont"),SUM($C$6:$F$11,$C$15:$F$16,$C$37:$D$37)&lt;&gt;0),I$15-I$16,0)</f>
        <v>32494</v>
      </c>
      <c r="E17" s="121">
        <f>E$15-E$16+IF(AND(OR('Company Information'!$C$12="District of Columbia",'Company Information'!$C$12="Massachusetts",'Company Information'!$C$12="Vermont"),SUM($C$6:$F$11,$C$15:$F$16,$C$37:$D$37)&lt;&gt;0),J$15-J$16,0)</f>
        <v>-2234</v>
      </c>
      <c r="F17" s="121">
        <f>F$15-F$16+IF(AND(OR('Company Information'!$C$12="District of Columbia",'Company Information'!$C$12="Massachusetts",'Company Information'!$C$12="Vermont"),SUM($C$6:$F$11,$C$15:$F$16,$C$37:$D$37)&lt;&gt;0),K$15-K$16,0)</f>
        <v>30844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8598</v>
      </c>
      <c r="J17" s="121">
        <f>J$15-J$16+IF(AND(OR('Company Information'!$C$12="District of Columbia",'Company Information'!$C$12="Massachusetts",'Company Information'!$C$12="Vermont"),SUM($H$6:$K$11,$H$15:$K$16,$H$37:$I$37)&lt;&gt;0),E$15-E$16,0)</f>
        <v>-5</v>
      </c>
      <c r="K17" s="121">
        <f>K$15-K$16+IF(AND(OR('Company Information'!$C$12="District of Columbia",'Company Information'!$C$12="Massachusetts",'Company Information'!$C$12="Vermont"),SUM($H$6:$K$11,$H$15:$K$16,$H$37:$I$37)&lt;&gt;0),F$15-F$16,0)</f>
        <v>8593</v>
      </c>
      <c r="L17" s="320"/>
      <c r="M17" s="120">
        <f>M$15-M$16</f>
        <v>7824567</v>
      </c>
      <c r="N17" s="121">
        <f>N$15-N$16</f>
        <v>8883252</v>
      </c>
      <c r="O17" s="121">
        <f>O$15-O$16</f>
        <v>15526853</v>
      </c>
      <c r="P17" s="121">
        <f>P$15-P$16</f>
        <v>32234672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v>
      </c>
      <c r="E37" s="262">
        <f>'Pt 1 Summary of Data'!E60</f>
        <v>0</v>
      </c>
      <c r="F37" s="262">
        <f>SUM(C37:E37)</f>
        <v>2</v>
      </c>
      <c r="G37" s="318"/>
      <c r="H37" s="127">
        <v>0</v>
      </c>
      <c r="I37" s="128">
        <v>0</v>
      </c>
      <c r="J37" s="262">
        <f>'Pt 1 Summary of Data'!K60</f>
        <v>0</v>
      </c>
      <c r="K37" s="262">
        <f>SUM(H37:J37)</f>
        <v>0</v>
      </c>
      <c r="L37" s="318"/>
      <c r="M37" s="127">
        <v>1891</v>
      </c>
      <c r="N37" s="128">
        <v>2881</v>
      </c>
      <c r="O37" s="262">
        <f>'Pt 1 Summary of Data'!Q60</f>
        <v>3908.9166666666665</v>
      </c>
      <c r="P37" s="262">
        <f>SUM(M37:O37)</f>
        <v>8680.9166666666661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2.8901983333333332E-2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2.8901983333333332E-2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0.96484968433397023</v>
      </c>
      <c r="N44" s="266">
        <f>IF(OR(N$37&lt;1000,N$17&lt;=0),"",N$12/N$17)</f>
        <v>1.0975704618083557</v>
      </c>
      <c r="O44" s="266">
        <f>IF(OR(O$37&lt;1000,O$17&lt;=0),"",O$12/O$17)</f>
        <v>1.0716957261075377</v>
      </c>
      <c r="P44" s="266">
        <f>IF(OR(P$37&lt;1000,P$17&lt;=0),"",P$12/P$17)</f>
        <v>1.052890750679889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2.8901983333333332E-2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1.0820000000000001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1.0820000000000001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15526853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14029</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5135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1941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