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P15" i="10" l="1"/>
  <c r="P17" i="10" s="1"/>
  <c r="O17" i="10"/>
  <c r="T37" i="10"/>
  <c r="F37" i="10"/>
  <c r="AB37" i="10"/>
  <c r="S6" i="10"/>
  <c r="AA6" i="10"/>
  <c r="E15" i="10"/>
  <c r="K15" i="10"/>
  <c r="K17" i="10" s="1"/>
  <c r="K37" i="10"/>
  <c r="E6" i="10"/>
  <c r="O6" i="10"/>
  <c r="P37" i="10"/>
  <c r="X6" i="10"/>
  <c r="L20" i="10"/>
  <c r="T15" i="10"/>
  <c r="X37" i="10"/>
  <c r="K6" i="10"/>
  <c r="J17" i="10" s="1"/>
  <c r="J44" i="10" s="1"/>
  <c r="I17" i="10"/>
  <c r="I44" i="10" s="1"/>
  <c r="L29" i="10"/>
  <c r="L25" i="10"/>
  <c r="L21" i="10"/>
  <c r="L28" i="10"/>
  <c r="J7" i="10"/>
  <c r="K7" i="10" s="1"/>
  <c r="M44" i="10"/>
  <c r="S7" i="10"/>
  <c r="T7" i="10" s="1"/>
  <c r="Z45" i="10"/>
  <c r="AA15" i="10"/>
  <c r="E7" i="10"/>
  <c r="F7" i="10" s="1"/>
  <c r="L19" i="10"/>
  <c r="L24" i="10" s="1"/>
  <c r="L23" i="10" s="1"/>
  <c r="O7" i="10"/>
  <c r="P7" i="10" s="1"/>
  <c r="W15" i="10"/>
  <c r="G7" i="10"/>
  <c r="G20" i="10" s="1"/>
  <c r="X41" i="10" l="1"/>
  <c r="X51" i="10"/>
  <c r="X52" i="10" s="1"/>
  <c r="G11" i="16" s="1"/>
  <c r="X46" i="10"/>
  <c r="X38" i="10"/>
  <c r="L27" i="10"/>
  <c r="C12" i="10"/>
  <c r="F6" i="10"/>
  <c r="E12" i="10" s="1"/>
  <c r="G25" i="10"/>
  <c r="AA13" i="10"/>
  <c r="AB6" i="10"/>
  <c r="AB13" i="10" s="1"/>
  <c r="F51" i="10"/>
  <c r="F52" i="10" s="1"/>
  <c r="C11" i="16" s="1"/>
  <c r="F46" i="10"/>
  <c r="F41" i="10"/>
  <c r="X15" i="10"/>
  <c r="W17" i="10" s="1"/>
  <c r="W45" i="10" s="1"/>
  <c r="AA17" i="10"/>
  <c r="AA45" i="10" s="1"/>
  <c r="AB15" i="10"/>
  <c r="AB17" i="10" s="1"/>
  <c r="G28" i="10"/>
  <c r="U13" i="10"/>
  <c r="G29" i="10"/>
  <c r="T6" i="10"/>
  <c r="Q17" i="10"/>
  <c r="S13" i="10"/>
  <c r="R17" i="10"/>
  <c r="R45" i="10" s="1"/>
  <c r="Q13" i="10"/>
  <c r="R13" i="10"/>
  <c r="I12" i="10"/>
  <c r="H17" i="10"/>
  <c r="S17" i="10"/>
  <c r="S45" i="10" s="1"/>
  <c r="V13" i="10"/>
  <c r="K51" i="10"/>
  <c r="K52" i="10" s="1"/>
  <c r="D11" i="16" s="1"/>
  <c r="K46" i="10"/>
  <c r="K44" i="10"/>
  <c r="K47" i="10" s="1"/>
  <c r="K50" i="10" s="1"/>
  <c r="K41" i="10"/>
  <c r="T51" i="10"/>
  <c r="T52" i="10" s="1"/>
  <c r="F11" i="16" s="1"/>
  <c r="T46" i="10"/>
  <c r="T38" i="10"/>
  <c r="T45" i="10"/>
  <c r="T47" i="10" s="1"/>
  <c r="T50" i="10" s="1"/>
  <c r="T41" i="10"/>
  <c r="G19" i="10"/>
  <c r="G24" i="10" s="1"/>
  <c r="G23" i="10" s="1"/>
  <c r="G27" i="10" s="1"/>
  <c r="H12" i="10"/>
  <c r="J12" i="10"/>
  <c r="T17" i="10"/>
  <c r="P51" i="10"/>
  <c r="O12" i="10"/>
  <c r="P6" i="10"/>
  <c r="G21" i="10"/>
  <c r="F15" i="10"/>
  <c r="F17" i="10" s="1"/>
  <c r="F44" i="10" s="1"/>
  <c r="F47" i="10" s="1"/>
  <c r="F50" i="10" s="1"/>
  <c r="E17" i="10"/>
  <c r="E44" i="10" s="1"/>
  <c r="AB45" i="10"/>
  <c r="AB47" i="10" s="1"/>
  <c r="AB50" i="10" s="1"/>
  <c r="AB41" i="10"/>
  <c r="AB51" i="10"/>
  <c r="AB52" i="10" s="1"/>
  <c r="H11" i="16" s="1"/>
  <c r="AB46" i="10"/>
  <c r="AB38" i="10"/>
  <c r="G26" i="10" l="1"/>
  <c r="G30" i="10" s="1"/>
  <c r="G31" i="10"/>
  <c r="G32" i="10" s="1"/>
  <c r="G33" i="10" s="1"/>
  <c r="V17" i="10"/>
  <c r="V45" i="10" s="1"/>
  <c r="Q45" i="10"/>
  <c r="T13" i="10"/>
  <c r="D17" i="10"/>
  <c r="D44" i="10" s="1"/>
  <c r="P12" i="10"/>
  <c r="P44" i="10" s="1"/>
  <c r="O44" i="10"/>
  <c r="P38" i="10" s="1"/>
  <c r="P41" i="10" s="1"/>
  <c r="P46" i="10" s="1"/>
  <c r="X17" i="10"/>
  <c r="X45" i="10" s="1"/>
  <c r="X47" i="10" s="1"/>
  <c r="X50" i="10" s="1"/>
  <c r="U17" i="10"/>
  <c r="L31" i="10"/>
  <c r="L32" i="10" s="1"/>
  <c r="L33" i="10" s="1"/>
  <c r="L26" i="10"/>
  <c r="L30" i="10" s="1"/>
  <c r="H44" i="10"/>
  <c r="K38" i="10" s="1"/>
  <c r="K12" i="10"/>
  <c r="D12" i="10"/>
  <c r="C17" i="10"/>
  <c r="W13" i="10"/>
  <c r="P47" i="10" l="1"/>
  <c r="P50" i="10" s="1"/>
  <c r="P52" i="10" s="1"/>
  <c r="E11" i="16" s="1"/>
  <c r="U45" i="10"/>
  <c r="X13" i="10"/>
  <c r="F12" i="10"/>
  <c r="C44" i="10"/>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<sst xmlns="http://schemas.openxmlformats.org/spreadsheetml/2006/main" count="568" uniqueCount="506">
  <si>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</si>
  <si>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</si>
  <si>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</si>
  <si>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</si>
  <si>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</si>
  <si>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</si>
  <si>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</si>
  <si>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</si>
  <si>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</si>
  <si>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</si>
  <si>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</si>
  <si>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</si>
  <si>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</si>
  <si>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</si>
  <si>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</si>
  <si>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</si>
  <si>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</si>
  <si>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</si>
  <si>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</si>
  <si>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</si>
  <si>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</si>
  <si>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</si>
  <si>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</si>
  <si>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</si>
  <si>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</si>
  <si>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</si>
  <si>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</si>
  <si>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</si>
  <si>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</si>
  <si>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</si>
  <si>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</si>
  <si>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</si>
  <si>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</si>
  <si>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</si>
  <si>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</si>
  <si>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</si>
  <si>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</si>
  <si>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</si>
  <si>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</si>
  <si>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</si>
  <si>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</si>
  <si>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</si>
  <si>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</si>
  <si>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</si>
  <si>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</si>
  <si>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</si>
  <si>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</si>
  <si>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</si>
  <si>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</si>
  <si>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</si>
  <si>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</si>
  <si>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</si>
  <si>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</si>
  <si>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</si>
  <si>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</si>
  <si>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</si>
  <si>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</si>
  <si>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</si>
  <si>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</si>
  <si>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</si>
  <si>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</si>
  <si>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</si>
  <si>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</si>
  <si>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</si>
  <si>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</si>
  <si>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</si>
  <si>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</si>
  <si>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</si>
  <si>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</si>
  <si>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</si>
  <si>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</si>
  <si>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</si>
  <si>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</si>
  <si>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</si>
  <si>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</si>
  <si>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</si>
  <si>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</si>
  <si>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</si>
  <si>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</si>
  <si>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</si>
  <si>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</si>
  <si>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</si>
  <si>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</si>
  <si>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</si>
  <si>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</si>
  <si>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</si>
  <si>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</si>
  <si>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</si>
  <si>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</si>
  <si>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</si>
  <si>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</si>
  <si>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</si>
  <si>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</si>
  <si>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</si>
  <si>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</si>
  <si>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</si>
  <si>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</si>
  <si>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</si>
  <si>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</si>
  <si>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</si>
  <si>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</si>
  <si>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</si>
  <si>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</si>
  <si>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</si>
  <si>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</si>
  <si>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</si>
  <si>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</si>
  <si>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</si>
  <si>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</si>
  <si>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</si>
  <si>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</si>
  <si>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</si>
  <si>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</si>
  <si>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</si>
  <si>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</si>
  <si>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</si>
  <si>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</si>
  <si>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</si>
  <si>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</si>
  <si>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</si>
  <si>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</si>
  <si>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</si>
  <si>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</si>
  <si>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</si>
  <si>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</si>
  <si>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</si>
  <si>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</si>
  <si>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</si>
  <si>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</si>
  <si>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</si>
  <si>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</si>
  <si>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</si>
  <si>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</si>
  <si>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</si>
  <si>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</si>
  <si>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</si>
  <si>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</si>
  <si>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</si>
  <si>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</si>
  <si>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</si>
  <si>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</si>
  <si>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</si>
  <si>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</si>
  <si>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</si>
  <si>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</si>
  <si>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</si>
  <si>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</si>
  <si>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</si>
  <si>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</si>
  <si>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</si>
  <si>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</si>
  <si>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</si>
  <si>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</si>
  <si>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</si>
  <si>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</si>
  <si>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</si>
  <si>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</si>
  <si>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</si>
  <si>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</si>
  <si>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</si>
  <si>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</si>
  <si>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</si>
  <si>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</si>
  <si>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</si>
  <si>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</si>
  <si>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</si>
  <si>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</si>
  <si>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</si>
  <si>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</si>
  <si>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</si>
  <si>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</si>
  <si>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</si>
  <si>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</si>
  <si>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</si>
  <si>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</si>
  <si>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</si>
  <si>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</si>
  <si>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</si>
  <si>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</si>
  <si>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</si>
  <si>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</si>
  <si>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</si>
  <si>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</si>
  <si>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</si>
  <si>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</si>
  <si>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</si>
  <si>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</si>
  <si>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</si>
  <si>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</si>
  <si>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</si>
  <si>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</si>
  <si>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</si>
  <si>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</si>
  <si>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</si>
  <si>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</si>
  <si>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</si>
  <si>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</si>
  <si>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</si>
  <si>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</si>
  <si>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</si>
  <si>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</si>
  <si>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</si>
  <si>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</si>
  <si>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</si>
  <si>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</si>
  <si>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</si>
  <si>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</si>
  <si>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</si>
  <si>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</si>
  <si>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</si>
  <si>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</si>
  <si>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</si>
  <si>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</si>
  <si>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</si>
  <si>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</si>
  <si>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</si>
  <si>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</si>
  <si>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</si>
  <si>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</si>
  <si>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</si>
  <si>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</si>
  <si>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</si>
  <si>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</si>
  <si>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</si>
  <si>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</si>
  <si>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</si>
  <si>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</si>
  <si>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</si>
  <si>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</si>
  <si>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</si>
  <si>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</si>
  <si>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</si>
  <si>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</si>
  <si>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</si>
  <si>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</si>
  <si>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</si>
  <si>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</si>
  <si>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</si>
  <si>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</si>
  <si>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</si>
  <si>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</si>
  <si>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</si>
  <si>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</si>
  <si>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</si>
  <si>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</si>
  <si>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</si>
  <si>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</si>
  <si>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</si>
  <si>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</si>
  <si>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</si>
  <si>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</si>
  <si>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</si>
  <si>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</si>
  <si>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</si>
  <si>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</si>
  <si>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</si>
  <si>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</si>
  <si>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</si>
  <si>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</si>
  <si>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</si>
  <si>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</si>
  <si>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</si>
  <si>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</si>
  <si>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</si>
  <si>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</si>
  <si>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</si>
  <si>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</si>
  <si>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</si>
  <si>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</si>
  <si>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</si>
  <si>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</si>
  <si>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</si>
  <si>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</si>
  <si>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</si>
  <si>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</si>
  <si>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</si>
  <si>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</si>
  <si>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</si>
  <si>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</si>
  <si>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</si>
  <si>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</si>
  <si>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</si>
  <si>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</si>
  <si>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</si>
  <si>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</si>
  <si>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</si>
  <si>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</si>
  <si>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</si>
  <si>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</si>
  <si>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</si>
  <si>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</si>
  <si>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</si>
  <si>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</si>
  <si>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</si>
  <si>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</si>
  <si>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</si>
  <si>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</si>
  <si>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</si>
  <si>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</si>
  <si>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</si>
  <si>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</si>
  <si>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</si>
  <si>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</si>
  <si>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</si>
  <si>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</si>
  <si>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</si>
  <si>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</si>
  <si>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</si>
  <si>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</si>
  <si>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</si>
  <si>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</si>
  <si>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</si>
  <si>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</si>
  <si>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</si>
  <si>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</si>
  <si>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</si>
  <si>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</si>
  <si>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</si>
  <si>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</si>
  <si>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</si>
  <si>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</si>
  <si>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</si>
  <si>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</si>
  <si>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</si>
  <si>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</si>
  <si>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</si>
  <si>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</si>
  <si>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</si>
  <si>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</si>
  <si>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</si>
  <si>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</si>
  <si>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</si>
  <si>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</si>
  <si>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</si>
  <si>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</si>
  <si>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</si>
  <si>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</si>
  <si>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</si>
  <si>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</si>
  <si>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</si>
  <si>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</si>
  <si>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</si>
  <si>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</si>
  <si>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</si>
  <si>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</si>
  <si>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</si>
  <si>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</si>
  <si>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</si>
  <si>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</si>
  <si>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</si>
  <si>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</si>
  <si>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</si>
  <si>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</si>
  <si>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</si>
  <si>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</si>
  <si>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</si>
  <si>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</si>
  <si>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</si>
  <si>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</si>
  <si>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</si>
  <si>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</si>
  <si>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</si>
  <si>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</si>
  <si>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</si>
  <si>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</si>
  <si>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</si>
  <si>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</si>
  <si>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</si>
  <si>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</si>
  <si>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</si>
  <si>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</si>
  <si>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</si>
  <si>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</si>
  <si>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</si>
  <si>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</si>
  <si>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</si>
  <si>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</si>
  <si>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</si>
  <si>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</si>
  <si>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</si>
  <si>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</si>
  <si>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</si>
  <si>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</si>
  <si>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</si>
  <si>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</si>
  <si>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</si>
  <si>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</si>
  <si>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</si>
  <si>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</si>
  <si>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</si>
  <si>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</si>
  <si>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</si>
  <si>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</si>
  <si>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</si>
  <si>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</si>
  <si>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</si>
  <si>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</si>
  <si>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</si>
  <si>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</si>
  <si>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</si>
  <si>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</si>
  <si>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</si>
  <si>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</si>
  <si>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</si>
  <si>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</si>
  <si>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</si>
  <si>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</si>
  <si>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</si>
  <si>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</si>
  <si>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</si>
  <si>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</si>
  <si>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</si>
  <si>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</si>
  <si>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</si>
  <si>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</si>
  <si>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</si>
  <si>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</si>
  <si>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</si>
  <si>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</si>
  <si>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</si>
  <si>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</si>
  <si>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</si>
  <si>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</si>
  <si>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</si>
  <si>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</si>
  <si>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</si>
  <si>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</si>
  <si>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</si>
  <si>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</si>
  <si>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</si>
  <si>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</si>
  <si>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</si>
  <si>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</si>
  <si>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</si>
  <si>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</si>
  <si>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</si>
  <si>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</si>
  <si>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</si>
  <si>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</si>
  <si>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</si>
  <si>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</si>
  <si>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</si>
  <si>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</si>
  <si>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</si>
  <si>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</si>
  <si>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</si>
  <si>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</si>
  <si>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</si>
  <si>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</si>
  <si>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</si>
  <si>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</si>
  <si>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</si>
  <si>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</si>
  <si>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</si>
  <si>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</si>
  <si>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</si>
  <si>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</si>
  <si>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</si>
  <si>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</si>
  <si>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</si>
  <si>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</si>
  <si>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</si>
  <si>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</si>
  <si>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</si>
  <si>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</si>
  <si>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</si>
  <si>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</si>
  <si>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</si>
  <si>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</si>
  <si>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</si>
  <si>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</si>
  <si>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</si>
  <si>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</si>
  <si>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</si>
  <si>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</si>
  <si>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</si>
  <si>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</si>
  <si>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</si>
  <si>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</si>
  <si>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</si>
  <si>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</si>
  <si>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</si>
  <si>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</si>
  <si>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</si>
  <si>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</si>
  <si>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</si>
  <si>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</si>
  <si>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</si>
  <si>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</si>
  <si>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</si>
  <si>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</si>
  <si>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</si>
  <si>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</si>
  <si>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</si>
  <si>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</si>
  <si>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</si>
  <si>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</si>
  <si>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</si>
  <si>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</si>
  <si>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</si>
  <si>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</si>
  <si>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</si>
  <si>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</si>
  <si>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85270</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</si>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</sst>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157</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2393</v>
      </c>
      <c r="E5" s="112">
        <f>'Pt 2 Premium and Claims'!E5+'Pt 2 Premium and Claims'!E6-'Pt 2 Premium and Claims'!E7-'Pt 2 Premium and Claims'!E13+'Pt 2 Premium and Claims'!E14+'Pt 2 Premium and Claims'!E15+'Pt 2 Premium and Claims'!E16+'Pt 2 Premium and Claims'!E17</f>
        <v>2395</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6120635</v>
      </c>
      <c r="Q5" s="112">
        <f>'Pt 2 Premium and Claims'!Q5+'Pt 2 Premium and Claims'!Q6-'Pt 2 Premium and Claims'!Q7-'Pt 2 Premium and Claims'!Q13+'Pt 2 Premium and Claims'!Q14</f>
        <v>6124753</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35806638</v>
      </c>
      <c r="AT5" s="113">
        <f>'Pt 2 Premium and Claims'!AT5+'Pt 2 Premium and Claims'!AT6-'Pt 2 Premium and Claims'!AT7-'Pt 2 Premium and Claims'!AT13+'Pt 2 Premium and Claims'!AT14</f>
        <v>6140362</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-3</v>
      </c>
      <c r="E7" s="116">
        <f>D7</f>
        <v>-3</v>
      </c>
      <c r="F7" s="116"/>
      <c r="G7" s="116"/>
      <c r="H7" s="116"/>
      <c r="I7" s="115">
        <v>0</v>
      </c>
      <c r="J7" s="115">
        <v>0</v>
      </c>
      <c r="K7" s="116">
        <f>J7</f>
        <v>0</v>
      </c>
      <c r="L7" s="116"/>
      <c r="M7" s="116"/>
      <c r="N7" s="116"/>
      <c r="O7" s="115">
        <v>0</v>
      </c>
      <c r="P7" s="115">
        <v>-7156</v>
      </c>
      <c r="Q7" s="116">
        <f>P7</f>
        <v>-7156</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-7179</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16456</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741</v>
      </c>
      <c r="E12" s="112">
        <f>'Pt 2 Premium and Claims'!E54</f>
        <v>735</v>
      </c>
      <c r="F12" s="112"/>
      <c r="G12" s="112"/>
      <c r="H12" s="112"/>
      <c r="I12" s="111">
        <f>'Pt 2 Premium and Claims'!I54</f>
        <v>0</v>
      </c>
      <c r="J12" s="111">
        <f>'Pt 2 Premium and Claims'!J54</f>
        <v>-25</v>
      </c>
      <c r="K12" s="112">
        <f>'Pt 2 Premium and Claims'!K54</f>
        <v>-25</v>
      </c>
      <c r="L12" s="112"/>
      <c r="M12" s="112"/>
      <c r="N12" s="112"/>
      <c r="O12" s="111">
        <f>'Pt 2 Premium and Claims'!O54</f>
        <v>0</v>
      </c>
      <c r="P12" s="111">
        <f>'Pt 2 Premium and Claims'!P54</f>
        <v>3983029</v>
      </c>
      <c r="Q12" s="112">
        <f>'Pt 2 Premium and Claims'!Q54</f>
        <v>4241003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27240460</v>
      </c>
      <c r="AT12" s="113">
        <f>'Pt 2 Premium and Claims'!AT54</f>
        <v>4268371</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709800</v>
      </c>
      <c r="Q13" s="116">
        <v>708818</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39089462</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113379</v>
      </c>
      <c r="Q14" s="116">
        <v>111127</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13399656</v>
      </c>
      <c r="AT14" s="119">
        <v>10925</v>
      </c>
      <c r="AU14" s="119">
        <v>0</v>
      </c>
      <c r="AV14" s="317"/>
      <c r="AW14" s="324"/>
    </row>
    <row r="15" spans="1:49" ht="38.25" x14ac:dyDescent="0.2">
      <c r="B15" s="161" t="s">
        <v>232</v>
      </c>
      <c r="C15" s="68" t="s">
        <v>7</v>
      </c>
      <c r="D15" s="115">
        <v>0</v>
      </c>
      <c r="E15" s="116">
        <v>1</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1</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-157</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-504</v>
      </c>
      <c r="E25" s="116">
        <f>D25</f>
        <v>-504</v>
      </c>
      <c r="F25" s="116"/>
      <c r="G25" s="116"/>
      <c r="H25" s="116"/>
      <c r="I25" s="115">
        <v>0</v>
      </c>
      <c r="J25" s="115">
        <v>9</v>
      </c>
      <c r="K25" s="116">
        <f>J25</f>
        <v>9</v>
      </c>
      <c r="L25" s="116"/>
      <c r="M25" s="116"/>
      <c r="N25" s="116"/>
      <c r="O25" s="115">
        <v>0</v>
      </c>
      <c r="P25" s="115">
        <v>504470</v>
      </c>
      <c r="Q25" s="116">
        <f>P25</f>
        <v>504470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2007559</v>
      </c>
      <c r="AT25" s="119">
        <v>491014</v>
      </c>
      <c r="AU25" s="119">
        <v>0</v>
      </c>
      <c r="AV25" s="119">
        <v>-1289180</v>
      </c>
      <c r="AW25" s="324"/>
    </row>
    <row r="26" spans="1:49" s="11" customFormat="1" x14ac:dyDescent="0.2">
      <c r="A26" s="41"/>
      <c r="B26" s="164" t="s">
        <v>243</v>
      </c>
      <c r="C26" s="68"/>
      <c r="D26" s="115">
        <v>7</v>
      </c>
      <c r="E26" s="116">
        <f>D26</f>
        <v>7</v>
      </c>
      <c r="F26" s="116"/>
      <c r="G26" s="116"/>
      <c r="H26" s="116"/>
      <c r="I26" s="115">
        <v>0</v>
      </c>
      <c r="J26" s="115">
        <v>0</v>
      </c>
      <c r="K26" s="116">
        <f>J26</f>
        <v>0</v>
      </c>
      <c r="L26" s="116"/>
      <c r="M26" s="116"/>
      <c r="N26" s="116"/>
      <c r="O26" s="115">
        <v>0</v>
      </c>
      <c r="P26" s="115">
        <v>2536</v>
      </c>
      <c r="Q26" s="116">
        <f>P26</f>
        <v>2536</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188</v>
      </c>
      <c r="E27" s="116">
        <f>D27</f>
        <v>188</v>
      </c>
      <c r="F27" s="116"/>
      <c r="G27" s="116"/>
      <c r="H27" s="116"/>
      <c r="I27" s="115">
        <v>0</v>
      </c>
      <c r="J27" s="115">
        <v>0</v>
      </c>
      <c r="K27" s="116">
        <f>J27</f>
        <v>0</v>
      </c>
      <c r="L27" s="116"/>
      <c r="M27" s="116"/>
      <c r="N27" s="116"/>
      <c r="O27" s="115">
        <v>0</v>
      </c>
      <c r="P27" s="115">
        <v>91089</v>
      </c>
      <c r="Q27" s="116">
        <f>P27</f>
        <v>91089</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535980</v>
      </c>
      <c r="AT27" s="119">
        <v>2857</v>
      </c>
      <c r="AU27" s="119">
        <v>0</v>
      </c>
      <c r="AV27" s="320"/>
      <c r="AW27" s="324"/>
    </row>
    <row r="28" spans="1:49" s="11" customFormat="1" x14ac:dyDescent="0.2">
      <c r="A28" s="41"/>
      <c r="B28" s="164" t="s">
        <v>245</v>
      </c>
      <c r="C28" s="68"/>
      <c r="D28" s="115">
        <v>33</v>
      </c>
      <c r="E28" s="116">
        <f>D28</f>
        <v>33</v>
      </c>
      <c r="F28" s="116"/>
      <c r="G28" s="116"/>
      <c r="H28" s="116"/>
      <c r="I28" s="115">
        <v>0</v>
      </c>
      <c r="J28" s="115">
        <v>0</v>
      </c>
      <c r="K28" s="116">
        <f>J28</f>
        <v>0</v>
      </c>
      <c r="L28" s="116"/>
      <c r="M28" s="116"/>
      <c r="N28" s="116"/>
      <c r="O28" s="115">
        <v>0</v>
      </c>
      <c r="P28" s="115">
        <v>16114</v>
      </c>
      <c r="Q28" s="116">
        <f>P28</f>
        <v>16114</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28550</v>
      </c>
      <c r="AT28" s="119">
        <v>8012</v>
      </c>
      <c r="AU28" s="119">
        <v>0</v>
      </c>
      <c r="AV28" s="119">
        <v>301323</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8</v>
      </c>
      <c r="E30" s="116">
        <f>D30</f>
        <v>8</v>
      </c>
      <c r="F30" s="116"/>
      <c r="G30" s="116"/>
      <c r="H30" s="116"/>
      <c r="I30" s="115">
        <v>0</v>
      </c>
      <c r="J30" s="115">
        <v>0</v>
      </c>
      <c r="K30" s="116">
        <f>J30</f>
        <v>0</v>
      </c>
      <c r="L30" s="116"/>
      <c r="M30" s="116"/>
      <c r="N30" s="116"/>
      <c r="O30" s="115">
        <v>0</v>
      </c>
      <c r="P30" s="115">
        <v>19019</v>
      </c>
      <c r="Q30" s="116">
        <f>P30</f>
        <v>19019</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18928</v>
      </c>
      <c r="AU30" s="119">
        <v>0</v>
      </c>
      <c r="AV30" s="119">
        <v>9375</v>
      </c>
      <c r="AW30" s="324"/>
    </row>
    <row r="31" spans="1:49" x14ac:dyDescent="0.2">
      <c r="B31" s="164" t="s">
        <v>248</v>
      </c>
      <c r="C31" s="68"/>
      <c r="D31" s="115">
        <v>42</v>
      </c>
      <c r="E31" s="116">
        <f>D31</f>
        <v>42</v>
      </c>
      <c r="F31" s="116"/>
      <c r="G31" s="116"/>
      <c r="H31" s="116"/>
      <c r="I31" s="115">
        <v>0</v>
      </c>
      <c r="J31" s="115">
        <v>0</v>
      </c>
      <c r="K31" s="116">
        <f>J31</f>
        <v>0</v>
      </c>
      <c r="L31" s="116"/>
      <c r="M31" s="116"/>
      <c r="N31" s="116"/>
      <c r="O31" s="115">
        <v>0</v>
      </c>
      <c r="P31" s="115">
        <v>106939</v>
      </c>
      <c r="Q31" s="116">
        <f>P31</f>
        <v>106939</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107284</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126</v>
      </c>
      <c r="E34" s="116">
        <f>D34</f>
        <v>126</v>
      </c>
      <c r="F34" s="116"/>
      <c r="G34" s="116"/>
      <c r="H34" s="116"/>
      <c r="I34" s="115">
        <v>0</v>
      </c>
      <c r="J34" s="115">
        <v>0</v>
      </c>
      <c r="K34" s="116">
        <f>J34</f>
        <v>0</v>
      </c>
      <c r="L34" s="116"/>
      <c r="M34" s="116"/>
      <c r="N34" s="116"/>
      <c r="O34" s="115">
        <v>0</v>
      </c>
      <c r="P34" s="115">
        <v>75593</v>
      </c>
      <c r="Q34" s="116">
        <f>P34</f>
        <v>75593</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6</v>
      </c>
      <c r="E35" s="116">
        <f>D35</f>
        <v>6</v>
      </c>
      <c r="F35" s="116"/>
      <c r="G35" s="116"/>
      <c r="H35" s="116"/>
      <c r="I35" s="115">
        <v>0</v>
      </c>
      <c r="J35" s="115">
        <v>0</v>
      </c>
      <c r="K35" s="116">
        <f>J35</f>
        <v>0</v>
      </c>
      <c r="L35" s="116"/>
      <c r="M35" s="116"/>
      <c r="N35" s="116"/>
      <c r="O35" s="115">
        <v>0</v>
      </c>
      <c r="P35" s="115">
        <v>2962</v>
      </c>
      <c r="Q35" s="116">
        <f>P35</f>
        <v>2962</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v>
      </c>
      <c r="AT35" s="119">
        <v>369</v>
      </c>
      <c r="AU35" s="119">
        <v>0</v>
      </c>
      <c r="AV35" s="119">
        <v>25516</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5</v>
      </c>
      <c r="E37" s="124">
        <v>5</v>
      </c>
      <c r="F37" s="124"/>
      <c r="G37" s="124"/>
      <c r="H37" s="124"/>
      <c r="I37" s="123">
        <v>0</v>
      </c>
      <c r="J37" s="123">
        <v>0</v>
      </c>
      <c r="K37" s="124">
        <v>0</v>
      </c>
      <c r="L37" s="124"/>
      <c r="M37" s="124"/>
      <c r="N37" s="124"/>
      <c r="O37" s="123">
        <v>0</v>
      </c>
      <c r="P37" s="123">
        <v>2784</v>
      </c>
      <c r="Q37" s="124">
        <v>2786</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716476</v>
      </c>
      <c r="AT37" s="125">
        <v>120</v>
      </c>
      <c r="AU37" s="125">
        <v>0</v>
      </c>
      <c r="AV37" s="125">
        <v>367560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141</v>
      </c>
      <c r="Q38" s="116">
        <v>143</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9</v>
      </c>
      <c r="AU38" s="119">
        <v>0</v>
      </c>
      <c r="AV38" s="119">
        <v>29826</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3779</v>
      </c>
      <c r="Q39" s="116">
        <v>3874</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131</v>
      </c>
      <c r="AU39" s="119">
        <v>0</v>
      </c>
      <c r="AV39" s="119">
        <v>10404</v>
      </c>
      <c r="AW39" s="324"/>
    </row>
    <row r="40" spans="1:49" x14ac:dyDescent="0.2">
      <c r="B40" s="164" t="s">
        <v>257</v>
      </c>
      <c r="C40" s="68" t="s">
        <v>38</v>
      </c>
      <c r="D40" s="115">
        <v>1</v>
      </c>
      <c r="E40" s="116">
        <v>1</v>
      </c>
      <c r="F40" s="116"/>
      <c r="G40" s="116"/>
      <c r="H40" s="116"/>
      <c r="I40" s="115">
        <v>0</v>
      </c>
      <c r="J40" s="115">
        <v>0</v>
      </c>
      <c r="K40" s="116">
        <v>0</v>
      </c>
      <c r="L40" s="116"/>
      <c r="M40" s="116"/>
      <c r="N40" s="116"/>
      <c r="O40" s="115">
        <v>0</v>
      </c>
      <c r="P40" s="115">
        <v>686</v>
      </c>
      <c r="Q40" s="116">
        <v>686</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211</v>
      </c>
      <c r="AU40" s="119">
        <v>0</v>
      </c>
      <c r="AV40" s="119">
        <v>62532</v>
      </c>
      <c r="AW40" s="324"/>
    </row>
    <row r="41" spans="1:49" s="11" customFormat="1" ht="25.5" x14ac:dyDescent="0.2">
      <c r="A41" s="41"/>
      <c r="B41" s="164" t="s">
        <v>258</v>
      </c>
      <c r="C41" s="68" t="s">
        <v>129</v>
      </c>
      <c r="D41" s="115">
        <v>4</v>
      </c>
      <c r="E41" s="116">
        <v>4</v>
      </c>
      <c r="F41" s="116"/>
      <c r="G41" s="116"/>
      <c r="H41" s="116"/>
      <c r="I41" s="115">
        <v>0</v>
      </c>
      <c r="J41" s="115">
        <v>0</v>
      </c>
      <c r="K41" s="116">
        <v>0</v>
      </c>
      <c r="L41" s="116"/>
      <c r="M41" s="116"/>
      <c r="N41" s="116"/>
      <c r="O41" s="115">
        <v>0</v>
      </c>
      <c r="P41" s="115">
        <v>2362</v>
      </c>
      <c r="Q41" s="116">
        <v>2362</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2</v>
      </c>
      <c r="AT41" s="119">
        <v>721</v>
      </c>
      <c r="AU41" s="119">
        <v>0</v>
      </c>
      <c r="AV41" s="119">
        <v>146199</v>
      </c>
      <c r="AW41" s="324"/>
    </row>
    <row r="42" spans="1:49" s="11" customFormat="1" ht="24.95" customHeight="1" x14ac:dyDescent="0.2">
      <c r="A42" s="41"/>
      <c r="B42" s="161" t="s">
        <v>259</v>
      </c>
      <c r="C42" s="68" t="s">
        <v>87</v>
      </c>
      <c r="D42" s="115">
        <v>2</v>
      </c>
      <c r="E42" s="116">
        <f>D42</f>
        <v>2</v>
      </c>
      <c r="F42" s="116"/>
      <c r="G42" s="116"/>
      <c r="H42" s="116"/>
      <c r="I42" s="115">
        <v>0</v>
      </c>
      <c r="J42" s="115">
        <v>0</v>
      </c>
      <c r="K42" s="116">
        <f>J42</f>
        <v>0</v>
      </c>
      <c r="L42" s="116"/>
      <c r="M42" s="116"/>
      <c r="N42" s="116"/>
      <c r="O42" s="115">
        <v>0</v>
      </c>
      <c r="P42" s="115">
        <v>740</v>
      </c>
      <c r="Q42" s="116">
        <f>P42</f>
        <v>740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1</v>
      </c>
      <c r="AT42" s="119">
        <v>0</v>
      </c>
      <c r="AU42" s="119">
        <v>0</v>
      </c>
      <c r="AV42" s="119">
        <v>25358</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686</v>
      </c>
      <c r="E44" s="124">
        <v>686</v>
      </c>
      <c r="F44" s="124"/>
      <c r="G44" s="124"/>
      <c r="H44" s="124"/>
      <c r="I44" s="123">
        <v>0</v>
      </c>
      <c r="J44" s="123">
        <v>0</v>
      </c>
      <c r="K44" s="124">
        <v>0</v>
      </c>
      <c r="L44" s="124"/>
      <c r="M44" s="124"/>
      <c r="N44" s="124"/>
      <c r="O44" s="123">
        <v>0</v>
      </c>
      <c r="P44" s="123">
        <v>169903</v>
      </c>
      <c r="Q44" s="124">
        <v>172008</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5595</v>
      </c>
      <c r="AU44" s="125">
        <v>0</v>
      </c>
      <c r="AV44" s="125">
        <v>1495883</v>
      </c>
      <c r="AW44" s="323"/>
    </row>
    <row r="45" spans="1:49" x14ac:dyDescent="0.2">
      <c r="B45" s="167" t="s">
        <v>262</v>
      </c>
      <c r="C45" s="68" t="s">
        <v>19</v>
      </c>
      <c r="D45" s="115">
        <v>34</v>
      </c>
      <c r="E45" s="116">
        <f>D45</f>
        <v>34</v>
      </c>
      <c r="F45" s="116"/>
      <c r="G45" s="116"/>
      <c r="H45" s="116"/>
      <c r="I45" s="115">
        <v>0</v>
      </c>
      <c r="J45" s="115">
        <v>0</v>
      </c>
      <c r="K45" s="116">
        <f>J45</f>
        <v>0</v>
      </c>
      <c r="L45" s="116"/>
      <c r="M45" s="116"/>
      <c r="N45" s="116"/>
      <c r="O45" s="115">
        <v>0</v>
      </c>
      <c r="P45" s="115">
        <v>2223</v>
      </c>
      <c r="Q45" s="116">
        <f>P45</f>
        <v>2223</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1446</v>
      </c>
      <c r="AT45" s="119">
        <v>1106</v>
      </c>
      <c r="AU45" s="119">
        <v>0</v>
      </c>
      <c r="AV45" s="119">
        <v>2263</v>
      </c>
      <c r="AW45" s="324"/>
    </row>
    <row r="46" spans="1:49" x14ac:dyDescent="0.2">
      <c r="B46" s="167" t="s">
        <v>263</v>
      </c>
      <c r="C46" s="68" t="s">
        <v>20</v>
      </c>
      <c r="D46" s="115">
        <v>350</v>
      </c>
      <c r="E46" s="116">
        <f>D46</f>
        <v>350</v>
      </c>
      <c r="F46" s="116"/>
      <c r="G46" s="116"/>
      <c r="H46" s="116"/>
      <c r="I46" s="115">
        <v>0</v>
      </c>
      <c r="J46" s="115">
        <v>0</v>
      </c>
      <c r="K46" s="116">
        <f>J46</f>
        <v>0</v>
      </c>
      <c r="L46" s="116"/>
      <c r="M46" s="116"/>
      <c r="N46" s="116"/>
      <c r="O46" s="115">
        <v>0</v>
      </c>
      <c r="P46" s="115">
        <v>22968</v>
      </c>
      <c r="Q46" s="116">
        <f>P46</f>
        <v>22968</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26269</v>
      </c>
      <c r="AU46" s="119">
        <v>0</v>
      </c>
      <c r="AV46" s="119">
        <v>511302</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130080</v>
      </c>
      <c r="Q47" s="116">
        <f>P47</f>
        <v>130080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133497</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-156</v>
      </c>
      <c r="Q49" s="116">
        <f>P49</f>
        <v>-156</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194</v>
      </c>
      <c r="AU49" s="119">
        <v>0</v>
      </c>
      <c r="AV49" s="119">
        <v>9350</v>
      </c>
      <c r="AW49" s="324"/>
    </row>
    <row r="50" spans="2:49" ht="25.5" x14ac:dyDescent="0.2">
      <c r="B50" s="161" t="s">
        <v>266</v>
      </c>
      <c r="C50" s="68"/>
      <c r="D50" s="115">
        <v>21</v>
      </c>
      <c r="E50" s="116">
        <f>D50</f>
        <v>21</v>
      </c>
      <c r="F50" s="116"/>
      <c r="G50" s="116"/>
      <c r="H50" s="116"/>
      <c r="I50" s="115">
        <v>0</v>
      </c>
      <c r="J50" s="115">
        <v>0</v>
      </c>
      <c r="K50" s="116">
        <f>J50</f>
        <v>0</v>
      </c>
      <c r="L50" s="116"/>
      <c r="M50" s="116"/>
      <c r="N50" s="116"/>
      <c r="O50" s="115">
        <v>0</v>
      </c>
      <c r="P50" s="115">
        <v>10317</v>
      </c>
      <c r="Q50" s="116">
        <f>P50</f>
        <v>10317</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8276</v>
      </c>
      <c r="AT50" s="119">
        <v>922</v>
      </c>
      <c r="AU50" s="119">
        <v>0</v>
      </c>
      <c r="AV50" s="119">
        <v>32467</v>
      </c>
      <c r="AW50" s="324"/>
    </row>
    <row r="51" spans="2:49" x14ac:dyDescent="0.2">
      <c r="B51" s="161" t="s">
        <v>267</v>
      </c>
      <c r="C51" s="68"/>
      <c r="D51" s="115">
        <v>1766</v>
      </c>
      <c r="E51" s="116">
        <f>D51</f>
        <v>1766</v>
      </c>
      <c r="F51" s="116"/>
      <c r="G51" s="116"/>
      <c r="H51" s="116"/>
      <c r="I51" s="115">
        <v>0</v>
      </c>
      <c r="J51" s="115">
        <v>0</v>
      </c>
      <c r="K51" s="116">
        <f>J51</f>
        <v>0</v>
      </c>
      <c r="L51" s="116"/>
      <c r="M51" s="116"/>
      <c r="N51" s="116"/>
      <c r="O51" s="115">
        <v>0</v>
      </c>
      <c r="P51" s="115">
        <v>116000</v>
      </c>
      <c r="Q51" s="116">
        <f>P51</f>
        <v>116000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2356075</v>
      </c>
      <c r="AT51" s="119">
        <v>171135</v>
      </c>
      <c r="AU51" s="119">
        <v>0</v>
      </c>
      <c r="AV51" s="119">
        <v>8970186</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2</v>
      </c>
      <c r="E53" s="116">
        <f>D53</f>
        <v>2</v>
      </c>
      <c r="F53" s="116"/>
      <c r="G53" s="295"/>
      <c r="H53" s="295"/>
      <c r="I53" s="115">
        <v>0</v>
      </c>
      <c r="J53" s="115">
        <v>0</v>
      </c>
      <c r="K53" s="116">
        <f>J53</f>
        <v>0</v>
      </c>
      <c r="L53" s="116"/>
      <c r="M53" s="295"/>
      <c r="N53" s="295"/>
      <c r="O53" s="115">
        <v>0</v>
      </c>
      <c r="P53" s="115">
        <v>822</v>
      </c>
      <c r="Q53" s="116">
        <f>P53</f>
        <v>822</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2025</v>
      </c>
      <c r="AT53" s="119">
        <v>49</v>
      </c>
      <c r="AU53" s="119">
        <v>0</v>
      </c>
      <c r="AV53" s="119">
        <v>31722</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8305649</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f>D56</f>
        <v>1</v>
      </c>
      <c r="F56" s="128"/>
      <c r="G56" s="128"/>
      <c r="H56" s="128"/>
      <c r="I56" s="127">
        <v>0</v>
      </c>
      <c r="J56" s="127">
        <v>0</v>
      </c>
      <c r="K56" s="128">
        <f>J56</f>
        <v>0</v>
      </c>
      <c r="L56" s="128"/>
      <c r="M56" s="128"/>
      <c r="N56" s="128"/>
      <c r="O56" s="127">
        <v>0</v>
      </c>
      <c r="P56" s="127">
        <v>668</v>
      </c>
      <c r="Q56" s="128">
        <f>P56</f>
        <v>668</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29492</v>
      </c>
      <c r="AT56" s="129">
        <v>421</v>
      </c>
      <c r="AU56" s="129">
        <v>0</v>
      </c>
      <c r="AV56" s="129">
        <v>44784</v>
      </c>
      <c r="AW56" s="315"/>
    </row>
    <row r="57" spans="2:49" x14ac:dyDescent="0.2">
      <c r="B57" s="167" t="s">
        <v>273</v>
      </c>
      <c r="C57" s="68" t="s">
        <v>25</v>
      </c>
      <c r="D57" s="130">
        <v>2</v>
      </c>
      <c r="E57" s="131">
        <f>D57</f>
        <v>2</v>
      </c>
      <c r="F57" s="131"/>
      <c r="G57" s="131"/>
      <c r="H57" s="131"/>
      <c r="I57" s="130">
        <v>0</v>
      </c>
      <c r="J57" s="130">
        <v>0</v>
      </c>
      <c r="K57" s="131">
        <f>J57</f>
        <v>0</v>
      </c>
      <c r="L57" s="131"/>
      <c r="M57" s="131"/>
      <c r="N57" s="131"/>
      <c r="O57" s="130">
        <v>0</v>
      </c>
      <c r="P57" s="130">
        <v>1245</v>
      </c>
      <c r="Q57" s="131">
        <f>P57</f>
        <v>1245</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29492</v>
      </c>
      <c r="AT57" s="132">
        <v>819</v>
      </c>
      <c r="AU57" s="132">
        <v>0</v>
      </c>
      <c r="AV57" s="132">
        <v>92271</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5</v>
      </c>
      <c r="Q58" s="131">
        <f>P58</f>
        <v>5</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3</v>
      </c>
      <c r="AU58" s="132">
        <v>0</v>
      </c>
      <c r="AV58" s="132">
        <v>46</v>
      </c>
      <c r="AW58" s="316"/>
    </row>
    <row r="59" spans="2:49" x14ac:dyDescent="0.2">
      <c r="B59" s="167" t="s">
        <v>275</v>
      </c>
      <c r="C59" s="68" t="s">
        <v>27</v>
      </c>
      <c r="D59" s="130">
        <v>30</v>
      </c>
      <c r="E59" s="131">
        <v>30</v>
      </c>
      <c r="F59" s="131"/>
      <c r="G59" s="131"/>
      <c r="H59" s="131"/>
      <c r="I59" s="130">
        <v>0</v>
      </c>
      <c r="J59" s="130">
        <v>0</v>
      </c>
      <c r="K59" s="131">
        <v>0</v>
      </c>
      <c r="L59" s="131"/>
      <c r="M59" s="131"/>
      <c r="N59" s="131"/>
      <c r="O59" s="130">
        <v>0</v>
      </c>
      <c r="P59" s="130">
        <v>14510</v>
      </c>
      <c r="Q59" s="131">
        <v>14510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359396</v>
      </c>
      <c r="AT59" s="132">
        <v>8744</v>
      </c>
      <c r="AU59" s="132">
        <v>0</v>
      </c>
      <c r="AV59" s="132">
        <v>1130344</v>
      </c>
      <c r="AW59" s="316"/>
    </row>
    <row r="60" spans="2:49" x14ac:dyDescent="0.2">
      <c r="B60" s="167" t="s">
        <v>276</v>
      </c>
      <c r="C60" s="68"/>
      <c r="D60" s="133">
        <f>D59/12</f>
        <v>2.5</v>
      </c>
      <c r="E60" s="134">
        <f>E59/12</f>
        <v>2.5</v>
      </c>
      <c r="F60" s="134"/>
      <c r="G60" s="134"/>
      <c r="H60" s="134"/>
      <c r="I60" s="133">
        <f>I59/12</f>
        <v>0</v>
      </c>
      <c r="J60" s="133">
        <f>J59/12</f>
        <v>0</v>
      </c>
      <c r="K60" s="134">
        <f>K59/12</f>
        <v>0</v>
      </c>
      <c r="L60" s="134"/>
      <c r="M60" s="134"/>
      <c r="N60" s="134"/>
      <c r="O60" s="133">
        <f>O59/12</f>
        <v>0</v>
      </c>
      <c r="P60" s="133">
        <f>P59/12</f>
        <v>1209.1666666666667</v>
      </c>
      <c r="Q60" s="134">
        <f>Q59/12</f>
        <v>1209.1666666666667</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29949.666666666668</v>
      </c>
      <c r="AT60" s="135">
        <f>AT59/12</f>
        <v>728.66666666666663</v>
      </c>
      <c r="AU60" s="135">
        <f>AU59/12</f>
        <v>0</v>
      </c>
      <c r="AV60" s="135">
        <f>AV59/12</f>
        <v>94195.333333333328</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562110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190612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23987</v>
      </c>
      <c r="E5" s="124">
        <v>2357</v>
      </c>
      <c r="F5" s="124"/>
      <c r="G5" s="136"/>
      <c r="H5" s="136"/>
      <c r="I5" s="123">
        <v>0</v>
      </c>
      <c r="J5" s="123">
        <v>0</v>
      </c>
      <c r="K5" s="124">
        <v>0</v>
      </c>
      <c r="L5" s="124"/>
      <c r="M5" s="124"/>
      <c r="N5" s="124"/>
      <c r="O5" s="123">
        <v>0</v>
      </c>
      <c r="P5" s="123">
        <v>6120454</v>
      </c>
      <c r="Q5" s="124">
        <v>6121128</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35816959</v>
      </c>
      <c r="AT5" s="125">
        <v>6165874</v>
      </c>
      <c r="AU5" s="125">
        <v>0</v>
      </c>
      <c r="AV5" s="318"/>
      <c r="AW5" s="323"/>
    </row>
    <row r="6" spans="2:49" x14ac:dyDescent="0.2">
      <c r="B6" s="182" t="s">
        <v>279</v>
      </c>
      <c r="C6" s="139" t="s">
        <v>8</v>
      </c>
      <c r="D6" s="115">
        <v>38</v>
      </c>
      <c r="E6" s="116">
        <f>D6</f>
        <v>38</v>
      </c>
      <c r="F6" s="116"/>
      <c r="G6" s="117"/>
      <c r="H6" s="117"/>
      <c r="I6" s="115">
        <v>0</v>
      </c>
      <c r="J6" s="115">
        <v>0</v>
      </c>
      <c r="K6" s="116">
        <f>J6</f>
        <v>0</v>
      </c>
      <c r="L6" s="116"/>
      <c r="M6" s="116"/>
      <c r="N6" s="116"/>
      <c r="O6" s="115">
        <v>0</v>
      </c>
      <c r="P6" s="115">
        <v>3625</v>
      </c>
      <c r="Q6" s="116">
        <v>3625</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100261</v>
      </c>
      <c r="AT6" s="119">
        <v>4337</v>
      </c>
      <c r="AU6" s="119">
        <v>0</v>
      </c>
      <c r="AV6" s="317"/>
      <c r="AW6" s="324"/>
    </row>
    <row r="7" spans="2:49" x14ac:dyDescent="0.2">
      <c r="B7" s="182" t="s">
        <v>280</v>
      </c>
      <c r="C7" s="139" t="s">
        <v>9</v>
      </c>
      <c r="D7" s="115">
        <v>21632</v>
      </c>
      <c r="E7" s="116"/>
      <c r="F7" s="116"/>
      <c r="G7" s="117"/>
      <c r="H7" s="117"/>
      <c r="I7" s="115"/>
      <c r="J7" s="115">
        <v>0</v>
      </c>
      <c r="K7" s="116"/>
      <c r="L7" s="116"/>
      <c r="M7" s="116"/>
      <c r="N7" s="116"/>
      <c r="O7" s="115"/>
      <c r="P7" s="115">
        <v>3444</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107392</v>
      </c>
      <c r="AT7" s="119">
        <v>29848</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-2223</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2223</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3190</v>
      </c>
      <c r="AT13" s="119">
        <v>1</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5438</v>
      </c>
      <c r="E23" s="294"/>
      <c r="F23" s="294"/>
      <c r="G23" s="294"/>
      <c r="H23" s="294"/>
      <c r="I23" s="298"/>
      <c r="J23" s="115">
        <v>-25</v>
      </c>
      <c r="K23" s="294"/>
      <c r="L23" s="294"/>
      <c r="M23" s="294"/>
      <c r="N23" s="294"/>
      <c r="O23" s="298"/>
      <c r="P23" s="115">
        <v>4170593</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33170531</v>
      </c>
      <c r="AT23" s="119">
        <v>4389886</v>
      </c>
      <c r="AU23" s="119">
        <v>0</v>
      </c>
      <c r="AV23" s="317"/>
      <c r="AW23" s="324"/>
    </row>
    <row r="24" spans="2:49" ht="28.5" customHeight="1" x14ac:dyDescent="0.2">
      <c r="B24" s="184" t="s">
        <v>114</v>
      </c>
      <c r="C24" s="139"/>
      <c r="D24" s="299"/>
      <c r="E24" s="116">
        <v>5277</v>
      </c>
      <c r="F24" s="116"/>
      <c r="G24" s="116"/>
      <c r="H24" s="116"/>
      <c r="I24" s="115">
        <v>0</v>
      </c>
      <c r="J24" s="299"/>
      <c r="K24" s="116">
        <v>-25</v>
      </c>
      <c r="L24" s="116"/>
      <c r="M24" s="116"/>
      <c r="N24" s="116"/>
      <c r="O24" s="115">
        <v>0</v>
      </c>
      <c r="P24" s="299"/>
      <c r="Q24" s="116">
        <v>4171794</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846</v>
      </c>
      <c r="E26" s="294"/>
      <c r="F26" s="294"/>
      <c r="G26" s="294"/>
      <c r="H26" s="294"/>
      <c r="I26" s="298"/>
      <c r="J26" s="115">
        <v>0</v>
      </c>
      <c r="K26" s="294"/>
      <c r="L26" s="294"/>
      <c r="M26" s="294"/>
      <c r="N26" s="294"/>
      <c r="O26" s="298"/>
      <c r="P26" s="115">
        <v>521234</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1575409</v>
      </c>
      <c r="AT26" s="119">
        <v>734845</v>
      </c>
      <c r="AU26" s="119">
        <v>0</v>
      </c>
      <c r="AV26" s="317"/>
      <c r="AW26" s="324"/>
    </row>
    <row r="27" spans="2:49" s="11" customFormat="1" ht="25.5" x14ac:dyDescent="0.2">
      <c r="B27" s="184" t="s">
        <v>85</v>
      </c>
      <c r="C27" s="139"/>
      <c r="D27" s="299"/>
      <c r="E27" s="116">
        <v>-2300</v>
      </c>
      <c r="F27" s="116"/>
      <c r="G27" s="116"/>
      <c r="H27" s="116"/>
      <c r="I27" s="115">
        <v>0</v>
      </c>
      <c r="J27" s="299"/>
      <c r="K27" s="116">
        <v>0</v>
      </c>
      <c r="L27" s="116"/>
      <c r="M27" s="116"/>
      <c r="N27" s="116"/>
      <c r="O27" s="115">
        <v>0</v>
      </c>
      <c r="P27" s="299"/>
      <c r="Q27" s="116">
        <v>68902</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3338</v>
      </c>
      <c r="E28" s="295"/>
      <c r="F28" s="295"/>
      <c r="G28" s="295"/>
      <c r="H28" s="295"/>
      <c r="I28" s="299"/>
      <c r="J28" s="115">
        <v>0</v>
      </c>
      <c r="K28" s="295"/>
      <c r="L28" s="295"/>
      <c r="M28" s="295"/>
      <c r="N28" s="295"/>
      <c r="O28" s="299"/>
      <c r="P28" s="115">
        <v>703251</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856360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9</v>
      </c>
      <c r="E34" s="294"/>
      <c r="F34" s="294"/>
      <c r="G34" s="294"/>
      <c r="H34" s="294"/>
      <c r="I34" s="298"/>
      <c r="J34" s="115">
        <v>0</v>
      </c>
      <c r="K34" s="294"/>
      <c r="L34" s="294"/>
      <c r="M34" s="294"/>
      <c r="N34" s="294"/>
      <c r="O34" s="298"/>
      <c r="P34" s="115">
        <v>4507</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9</v>
      </c>
      <c r="F35" s="116"/>
      <c r="G35" s="116"/>
      <c r="H35" s="116"/>
      <c r="I35" s="115">
        <v>0</v>
      </c>
      <c r="J35" s="299"/>
      <c r="K35" s="116">
        <f>J34</f>
        <v>0</v>
      </c>
      <c r="L35" s="116"/>
      <c r="M35" s="116"/>
      <c r="N35" s="116"/>
      <c r="O35" s="115">
        <v>0</v>
      </c>
      <c r="P35" s="299"/>
      <c r="Q35" s="116">
        <f>P34</f>
        <v>4507</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28</v>
      </c>
      <c r="E36" s="116">
        <f>D36</f>
        <v>28</v>
      </c>
      <c r="F36" s="116"/>
      <c r="G36" s="116"/>
      <c r="H36" s="116"/>
      <c r="I36" s="115">
        <v>0</v>
      </c>
      <c r="J36" s="115">
        <v>0</v>
      </c>
      <c r="K36" s="116">
        <f>J36</f>
        <v>0</v>
      </c>
      <c r="L36" s="116"/>
      <c r="M36" s="116"/>
      <c r="N36" s="116"/>
      <c r="O36" s="115">
        <v>0</v>
      </c>
      <c r="P36" s="115">
        <v>6059</v>
      </c>
      <c r="Q36" s="116">
        <f>P36</f>
        <v>6059</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-2223</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2223</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196</v>
      </c>
      <c r="Q45" s="116">
        <v>196</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55297</v>
      </c>
      <c r="Q49" s="116">
        <v>-1663</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7505480</v>
      </c>
      <c r="AT49" s="119">
        <v>0</v>
      </c>
      <c r="AU49" s="119">
        <v>0</v>
      </c>
      <c r="AV49" s="317"/>
      <c r="AW49" s="324"/>
    </row>
    <row r="50" spans="2:49" x14ac:dyDescent="0.2">
      <c r="B50" s="182" t="s">
        <v>119</v>
      </c>
      <c r="C50" s="139" t="s">
        <v>34</v>
      </c>
      <c r="D50" s="115">
        <v>33</v>
      </c>
      <c r="E50" s="295"/>
      <c r="F50" s="295"/>
      <c r="G50" s="295"/>
      <c r="H50" s="295"/>
      <c r="I50" s="299"/>
      <c r="J50" s="115">
        <v>0</v>
      </c>
      <c r="K50" s="295"/>
      <c r="L50" s="295"/>
      <c r="M50" s="295"/>
      <c r="N50" s="295"/>
      <c r="O50" s="299"/>
      <c r="P50" s="115">
        <v>51106</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741</v>
      </c>
      <c r="E54" s="121">
        <f>E24+E27+E31+E35-E36+E39+E42+E45+E46-E49+E51+E52+E53</f>
        <v>735</v>
      </c>
      <c r="F54" s="121"/>
      <c r="G54" s="121"/>
      <c r="H54" s="121"/>
      <c r="I54" s="120">
        <f>I24+I27+I31+I35-I36+I39+I42+I45+I46-I49+I51+I52+I53</f>
        <v>0</v>
      </c>
      <c r="J54" s="120">
        <f>J23+J26-J28+J30-J32+J34-J36+J38+J41-J43+J45+J46-J47-J49+J50+J51+J52+J53</f>
        <v>-25</v>
      </c>
      <c r="K54" s="121">
        <f>K24+K27+K31+K35-K36+K39+K42+K45+K46-K49+K51+K52+K53</f>
        <v>-25</v>
      </c>
      <c r="L54" s="121"/>
      <c r="M54" s="121"/>
      <c r="N54" s="121"/>
      <c r="O54" s="120">
        <f>O24+O27+O31+O35-O36+O39+O42+O45+O46-O49+O51+O52+O53</f>
        <v>0</v>
      </c>
      <c r="P54" s="120">
        <f>P23+P26-P28+P30-P32+P34-P36+P38+P41-P43+P45+P46-P47-P49+P50+P51+P52+P53</f>
        <v>3983029</v>
      </c>
      <c r="Q54" s="121">
        <f>Q24+Q27+Q31+Q35-Q36+Q39+Q42+Q45+Q46-Q49+Q51+Q52+Q53</f>
        <v>4241003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27240460</v>
      </c>
      <c r="AT54" s="122">
        <f>AT23+AT26-AT28+AT30-AT32+AT34-AT36+AT38+AT41-AT43+AT45+AT46-AT47-AT49+AT50+AT51+AT52+AT53</f>
        <v>4268371</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4348.28</v>
      </c>
      <c r="D5" s="124">
        <v>6198</v>
      </c>
      <c r="E5" s="352"/>
      <c r="F5" s="352"/>
      <c r="G5" s="318"/>
      <c r="H5" s="123">
        <v>0</v>
      </c>
      <c r="I5" s="124">
        <v>0</v>
      </c>
      <c r="J5" s="352"/>
      <c r="K5" s="352"/>
      <c r="L5" s="318"/>
      <c r="M5" s="123">
        <v>574942.06000000006</v>
      </c>
      <c r="N5" s="124">
        <v>6537227</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4261</v>
      </c>
      <c r="D6" s="116">
        <v>6055</v>
      </c>
      <c r="E6" s="121">
        <f>SUM('Pt 1 Summary of Data'!E$12,'Pt 1 Summary of Data'!E$22)+SUM('Pt 1 Summary of Data'!G$12,'Pt 1 Summary of Data'!G$22)-SUM('Pt 1 Summary of Data'!H$12,'Pt 1 Summary of Data'!H$22)</f>
        <v>735</v>
      </c>
      <c r="F6" s="121">
        <f>SUM(C6:E6)</f>
        <v>11051</v>
      </c>
      <c r="G6" s="122">
        <f>'Pt 1 Summary of Data'!I12+'Pt 1 Summary of Data'!I22</f>
        <v>0</v>
      </c>
      <c r="H6" s="115">
        <v>0</v>
      </c>
      <c r="I6" s="116">
        <v>0</v>
      </c>
      <c r="J6" s="121">
        <f>'Pt 1 Summary of Data'!K12+'Pt 1 Summary of Data'!K22</f>
        <v>-25</v>
      </c>
      <c r="K6" s="121">
        <f>SUM(H6:J6)</f>
        <v>-25</v>
      </c>
      <c r="L6" s="122">
        <f>'Pt 1 Summary of Data'!O12+'Pt 1 Summary of Data'!O22</f>
        <v>0</v>
      </c>
      <c r="M6" s="115">
        <v>581288</v>
      </c>
      <c r="N6" s="116">
        <v>6488814</v>
      </c>
      <c r="O6" s="121">
        <f>'Pt 1 Summary of Data'!Q12+'Pt 1 Summary of Data'!Q22</f>
        <v>4241003</v>
      </c>
      <c r="P6" s="121">
        <f>SUM(M6:O6)</f>
        <v>11311105</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285</v>
      </c>
      <c r="D7" s="116">
        <v>72</v>
      </c>
      <c r="E7" s="121">
        <f>SUM('Pt 1 Summary of Data'!E37:E41)+MAX(0,MIN('Pt 1 Summary of Data'!E42,0.3%*('Pt 1 Summary of Data'!E5-SUM(E9:E11))))</f>
        <v>12</v>
      </c>
      <c r="F7" s="121">
        <f>SUM(C7:E7)</f>
        <v>369</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3536</v>
      </c>
      <c r="N7" s="116">
        <v>33128</v>
      </c>
      <c r="O7" s="121">
        <f>SUM('Pt 1 Summary of Data'!Q37:Q41)+MAX(0,MIN('Pt 1 Summary of Data'!Q42,0.3%*('Pt 1 Summary of Data'!Q5)))</f>
        <v>10591</v>
      </c>
      <c r="P7" s="121">
        <f>SUM(M7:O7)</f>
        <v>47255</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4546</v>
      </c>
      <c r="D12" s="121">
        <f>SUM(D$6:D$7)+IF(AND(OR('Company Information'!$C$12="District of Columbia",'Company Information'!$C$12="Massachusetts",'Company Information'!$C$12="Vermont"),SUM($C$6:$F$11,$C$15:$F$16,$C$37:$D$37)&lt;&gt;0),SUM(I$6:I$7),0)</f>
        <v>6127</v>
      </c>
      <c r="E12" s="121">
        <f>SUM(E$6:E$7)-SUM(E$8:E$11)+IF(AND(OR('Company Information'!$C$12="District of Columbia",'Company Information'!$C$12="Massachusetts",'Company Information'!$C$12="Vermont"),SUM($C$6:$F$11,$C$15:$F$16,$C$37:$D$37)&lt;&gt;0),SUM(J$6:J$7)-SUM(J$10:J$11),0)</f>
        <v>747</v>
      </c>
      <c r="F12" s="121">
        <f>IFERROR(SUM(C$12:E$12)+C$17*MAX(0,E$49-C$49)+D$17*MAX(0,E$49-D$49),0)</f>
        <v>11420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-25</v>
      </c>
      <c r="K12" s="121">
        <f>IFERROR(SUM(H$12:J$12)+H$17*MAX(0,J$49-H$49)+I$17*MAX(0,J$49-I$49),0)</f>
        <v>-25</v>
      </c>
      <c r="L12" s="317"/>
      <c r="M12" s="120">
        <f>SUM(M$6:M$7)</f>
        <v>584824</v>
      </c>
      <c r="N12" s="121">
        <f>SUM(N$6:N$7)</f>
        <v>6521942</v>
      </c>
      <c r="O12" s="121">
        <f>SUM(O$6:O$7)</f>
        <v>4251594</v>
      </c>
      <c r="P12" s="121">
        <f>SUM(M$12:O$12)+M$17*MAX(0,O$49-M$49)+N$17*MAX(0,O$49-N$49)</f>
        <v>11358360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3044</v>
      </c>
      <c r="D15" s="124">
        <v>5005</v>
      </c>
      <c r="E15" s="112">
        <f>SUM('Pt 1 Summary of Data'!E$5:E$7)+SUM('Pt 1 Summary of Data'!G$5:G$7)-SUM('Pt 1 Summary of Data'!H$5:H$7)-SUM(E$9:E$11)+D$55</f>
        <v>2392</v>
      </c>
      <c r="F15" s="112">
        <f>SUM(C15:E15)</f>
        <v>10441</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932590</v>
      </c>
      <c r="N15" s="124">
        <v>7331938</v>
      </c>
      <c r="O15" s="112">
        <f>SUM('Pt 1 Summary of Data'!Q5:Q7)+N55</f>
        <v>6128755</v>
      </c>
      <c r="P15" s="112">
        <f>SUM(M15:O15)</f>
        <v>14393283</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-1968</v>
      </c>
      <c r="D16" s="116">
        <v>-822</v>
      </c>
      <c r="E16" s="121">
        <f>'Pt 1 Summary of Data'!E25+'Pt 1 Summary of Data'!E26+'Pt 1 Summary of Data'!E27+'Pt 1 Summary of Data'!E28+'Pt 1 Summary of Data'!E30+'Pt 1 Summary of Data'!E31+'Pt 1 Summary of Data'!E34+'Pt 1 Summary of Data'!E35+'Pt 3 MLR and Rebate Calculation'!D56</f>
        <v>-94</v>
      </c>
      <c r="F16" s="121">
        <f>SUM(C16:E16)</f>
        <v>-2884</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9</v>
      </c>
      <c r="K16" s="121">
        <f>SUM(H16:J16)</f>
        <v>9</v>
      </c>
      <c r="L16" s="122">
        <f>'Pt 1 Summary of Data'!O25+'Pt 1 Summary of Data'!O26+'Pt 1 Summary of Data'!O27+'Pt 1 Summary of Data'!O28+'Pt 1 Summary of Data'!O30+'Pt 1 Summary of Data'!O31+'Pt 1 Summary of Data'!O34+'Pt 1 Summary of Data'!O35</f>
        <v>0</v>
      </c>
      <c r="M16" s="115">
        <v>93757</v>
      </c>
      <c r="N16" s="116">
        <v>73502</v>
      </c>
      <c r="O16" s="121">
        <f>'Pt 1 Summary of Data'!Q25+'Pt 1 Summary of Data'!Q26+'Pt 1 Summary of Data'!Q27+'Pt 1 Summary of Data'!Q28+'Pt 1 Summary of Data'!Q30+'Pt 1 Summary of Data'!Q31+'Pt 1 Summary of Data'!Q34+'Pt 1 Summary of Data'!Q35+'Pt 3 MLR and Rebate Calculation'!N56</f>
        <v>822807</v>
      </c>
      <c r="P16" s="121">
        <f>SUM(M16:O16)</f>
        <v>990066</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5012</v>
      </c>
      <c r="D17" s="121">
        <f>D$15-D$16+IF(AND(OR('Company Information'!$C$12="District of Columbia",'Company Information'!$C$12="Massachusetts",'Company Information'!$C$12="Vermont"),SUM($C$6:$F$11,$C$15:$F$16,$C$37:$D$37)&lt;&gt;0),I$15-I$16,0)</f>
        <v>5827</v>
      </c>
      <c r="E17" s="121">
        <f>E$15-E$16+IF(AND(OR('Company Information'!$C$12="District of Columbia",'Company Information'!$C$12="Massachusetts",'Company Information'!$C$12="Vermont"),SUM($C$6:$F$11,$C$15:$F$16,$C$37:$D$37)&lt;&gt;0),J$15-J$16,0)</f>
        <v>2486</v>
      </c>
      <c r="F17" s="121">
        <f>F$15-F$16+IF(AND(OR('Company Information'!$C$12="District of Columbia",'Company Information'!$C$12="Massachusetts",'Company Information'!$C$12="Vermont"),SUM($C$6:$F$11,$C$15:$F$16,$C$37:$D$37)&lt;&gt;0),K$15-K$16,0)</f>
        <v>13325</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-9</v>
      </c>
      <c r="K17" s="121">
        <f>K$15-K$16+IF(AND(OR('Company Information'!$C$12="District of Columbia",'Company Information'!$C$12="Massachusetts",'Company Information'!$C$12="Vermont"),SUM($H$6:$K$11,$H$15:$K$16,$H$37:$I$37)&lt;&gt;0),F$15-F$16,0)</f>
        <v>-9</v>
      </c>
      <c r="L17" s="320"/>
      <c r="M17" s="120">
        <f>M$15-M$16</f>
        <v>838833</v>
      </c>
      <c r="N17" s="121">
        <f>N$15-N$16</f>
        <v>7258436</v>
      </c>
      <c r="O17" s="121">
        <f>O$15-O$16</f>
        <v>5305948</v>
      </c>
      <c r="P17" s="121">
        <f>P$15-P$16</f>
        <v>13403217</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4</v>
      </c>
      <c r="E37" s="262">
        <f>'Pt 1 Summary of Data'!E60</f>
        <v>2.5</v>
      </c>
      <c r="F37" s="262">
        <f>SUM(C37:E37)</f>
        <v>9.5</v>
      </c>
      <c r="G37" s="318"/>
      <c r="H37" s="127">
        <v>0</v>
      </c>
      <c r="I37" s="128">
        <v>0</v>
      </c>
      <c r="J37" s="262">
        <f>'Pt 1 Summary of Data'!K60</f>
        <v>0</v>
      </c>
      <c r="K37" s="262">
        <f>SUM(H37:J37)</f>
        <v>0</v>
      </c>
      <c r="L37" s="318"/>
      <c r="M37" s="127">
        <v>118</v>
      </c>
      <c r="N37" s="128">
        <v>1457</v>
      </c>
      <c r="O37" s="262">
        <f>'Pt 1 Summary of Data'!Q60</f>
        <v>1209.1666666666667</v>
      </c>
      <c r="P37" s="262">
        <f>SUM(M37:O37)</f>
        <v>2784.166666666667</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5.0294999999999992E-2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5.0294999999999992E-2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f>IF(OR(N$37&lt;1000,N$17&lt;=0),"",N$12/N$17)</f>
        <v>0.89853268665591324</v>
      </c>
      <c r="O44" s="266">
        <f>IF(OR(O$37&lt;1000,O$17&lt;=0),"",O$12/O$17)</f>
        <v>0.8012882900473205</v>
      </c>
      <c r="P44" s="266">
        <f>IF(OR(P$37&lt;1000,P$17&lt;=0),"",P$12/P$17)</f>
        <v>0.84743535824272631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5.0294999999999992E-2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0.89800000000000002</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0.89800000000000002</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5305948</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11158</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4085</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v>
      </c>
      <c r="D4" s="155">
        <f>'Pt 1 Summary of Data'!J56</f>
        <v>0</v>
      </c>
      <c r="E4" s="155">
        <f>'Pt 1 Summary of Data'!P56</f>
        <v>668</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