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46" i="10" s="1"/>
  <c r="Z13" i="10"/>
  <c r="Y46" i="10"/>
  <c r="Y17" i="10"/>
  <c r="Y13" i="10"/>
  <c r="X41" i="10"/>
  <c r="W16" i="10"/>
  <c r="X16" i="10" s="1"/>
  <c r="T41" i="10"/>
  <c r="S16" i="10"/>
  <c r="T16" i="10" s="1"/>
  <c r="P41" i="10"/>
  <c r="P16" i="10"/>
  <c r="O38" i="10"/>
  <c r="O16" i="10"/>
  <c r="N17" i="10"/>
  <c r="N45" i="10" s="1"/>
  <c r="N12" i="10"/>
  <c r="M45" i="10"/>
  <c r="M17" i="10"/>
  <c r="M12" i="10"/>
  <c r="L60" i="10"/>
  <c r="L58" i="10" s="1"/>
  <c r="L59" i="10"/>
  <c r="L36" i="10"/>
  <c r="L35" i="10"/>
  <c r="L16" i="10"/>
  <c r="L10" i="10"/>
  <c r="K41" i="10"/>
  <c r="K16" i="10"/>
  <c r="K10" i="10"/>
  <c r="J16" i="10"/>
  <c r="J11" i="10"/>
  <c r="K11" i="10" s="1"/>
  <c r="J10" i="10"/>
  <c r="G60" i="10"/>
  <c r="G59" i="10"/>
  <c r="G58" i="10" s="1"/>
  <c r="G36" i="10"/>
  <c r="G35" i="10"/>
  <c r="G16" i="10"/>
  <c r="G10" i="10"/>
  <c r="G9" i="10"/>
  <c r="G8" i="10"/>
  <c r="F41" i="10"/>
  <c r="E16" i="10"/>
  <c r="F16" i="10" s="1"/>
  <c r="E11" i="10"/>
  <c r="F11" i="10" s="1"/>
  <c r="E10" i="10"/>
  <c r="F10" i="10" s="1"/>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12" i="4"/>
  <c r="AU5" i="4"/>
  <c r="AT60" i="4"/>
  <c r="AT22" i="4"/>
  <c r="AT5" i="4"/>
  <c r="AS60" i="4"/>
  <c r="AS22" i="4"/>
  <c r="AS12" i="4"/>
  <c r="AS5" i="4"/>
  <c r="AC60" i="4"/>
  <c r="AC22" i="4"/>
  <c r="AC5" i="4"/>
  <c r="AB60" i="4"/>
  <c r="AB22" i="4"/>
  <c r="AB12" i="4"/>
  <c r="AA6" i="10" s="1"/>
  <c r="AB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H60" i="4"/>
  <c r="H22" i="4"/>
  <c r="H12" i="4"/>
  <c r="H5" i="4"/>
  <c r="G60" i="4"/>
  <c r="G22" i="4"/>
  <c r="G5" i="4"/>
  <c r="F60" i="4"/>
  <c r="F22" i="4"/>
  <c r="F12" i="4"/>
  <c r="F5" i="4"/>
  <c r="E60" i="4"/>
  <c r="E22" i="4"/>
  <c r="E5" i="4"/>
  <c r="D60" i="4"/>
  <c r="D22" i="4"/>
  <c r="D12" i="4"/>
  <c r="D5" i="4"/>
  <c r="F6" i="10" l="1"/>
  <c r="L20" i="10"/>
  <c r="G20" i="10"/>
  <c r="K6" i="10"/>
  <c r="O12" i="10"/>
  <c r="P12" i="10" s="1"/>
  <c r="P6" i="10"/>
  <c r="X6" i="10"/>
  <c r="W38" i="10" s="1"/>
  <c r="O45" i="10"/>
  <c r="E7" i="10"/>
  <c r="F7" i="10" s="1"/>
  <c r="E15" i="10"/>
  <c r="G15" i="10"/>
  <c r="K15" i="10"/>
  <c r="K17" i="10" s="1"/>
  <c r="P15" i="10"/>
  <c r="P17" i="10" s="1"/>
  <c r="O17" i="10"/>
  <c r="X15" i="10"/>
  <c r="X17" i="10" s="1"/>
  <c r="L15" i="10"/>
  <c r="L19" i="10" s="1"/>
  <c r="T6" i="10"/>
  <c r="AB13" i="10"/>
  <c r="AA13" i="10"/>
  <c r="AB38" i="10"/>
  <c r="J7" i="10"/>
  <c r="K7" i="10" s="1"/>
  <c r="O7" i="10"/>
  <c r="P7" i="10" s="1"/>
  <c r="S15" i="10"/>
  <c r="W7" i="10"/>
  <c r="X7" i="10" s="1"/>
  <c r="AA15" i="10"/>
  <c r="P38" i="10"/>
  <c r="G7" i="10"/>
  <c r="G19" i="10" s="1"/>
  <c r="X38" i="10" l="1"/>
  <c r="P39" i="10"/>
  <c r="P42" i="10" s="1"/>
  <c r="P52" i="10"/>
  <c r="P45" i="10"/>
  <c r="S17" i="10"/>
  <c r="T15" i="10"/>
  <c r="Q17" i="10"/>
  <c r="U13" i="10"/>
  <c r="U17" i="10"/>
  <c r="J12" i="10"/>
  <c r="I12" i="10"/>
  <c r="S13" i="10"/>
  <c r="G27" i="10"/>
  <c r="G23" i="10"/>
  <c r="G22" i="10"/>
  <c r="G32" i="10"/>
  <c r="G24" i="10"/>
  <c r="V17" i="10"/>
  <c r="V46" i="10" s="1"/>
  <c r="H12" i="10"/>
  <c r="H17" i="10"/>
  <c r="AA17" i="10"/>
  <c r="AA46" i="10" s="1"/>
  <c r="AB15" i="10"/>
  <c r="AB17" i="10" s="1"/>
  <c r="AB46" i="10" s="1"/>
  <c r="L32" i="10"/>
  <c r="L27" i="10"/>
  <c r="L23" i="10"/>
  <c r="L24" i="10"/>
  <c r="L22" i="10"/>
  <c r="F15" i="10"/>
  <c r="E12" i="10" s="1"/>
  <c r="W13" i="10"/>
  <c r="J38" i="10"/>
  <c r="C17" i="10"/>
  <c r="AB42" i="10"/>
  <c r="AB53" i="10"/>
  <c r="H11" i="16" s="1"/>
  <c r="AB39" i="10"/>
  <c r="AB52" i="10"/>
  <c r="R17" i="10"/>
  <c r="R46" i="10" s="1"/>
  <c r="W17" i="10"/>
  <c r="W46" i="10" s="1"/>
  <c r="J17" i="10"/>
  <c r="V13" i="10"/>
  <c r="I17" i="10"/>
  <c r="I45" i="10" s="1"/>
  <c r="AB48" i="10" l="1"/>
  <c r="AB51" i="10" s="1"/>
  <c r="AB47" i="10"/>
  <c r="C45" i="10"/>
  <c r="J45" i="10"/>
  <c r="K38" i="10"/>
  <c r="L21" i="10"/>
  <c r="L26" i="10" s="1"/>
  <c r="L25" i="10" s="1"/>
  <c r="L28" i="10" s="1"/>
  <c r="L30" i="10"/>
  <c r="L31" i="10" s="1"/>
  <c r="L29" i="10" s="1"/>
  <c r="L33" i="10" s="1"/>
  <c r="L34" i="10" s="1"/>
  <c r="Q46" i="10"/>
  <c r="T13" i="10"/>
  <c r="P47" i="10"/>
  <c r="P48" i="10"/>
  <c r="P51" i="10" s="1"/>
  <c r="P53" i="10" s="1"/>
  <c r="E11" i="16" s="1"/>
  <c r="D12" i="10"/>
  <c r="D17" i="10"/>
  <c r="D45" i="10" s="1"/>
  <c r="G21" i="10"/>
  <c r="G26" i="10" s="1"/>
  <c r="G25" i="10" s="1"/>
  <c r="G28" i="10" s="1"/>
  <c r="G30" i="10"/>
  <c r="G31" i="10" s="1"/>
  <c r="G29" i="10" s="1"/>
  <c r="G33" i="10" s="1"/>
  <c r="G34" i="10" s="1"/>
  <c r="T17" i="10"/>
  <c r="Q13" i="10"/>
  <c r="S38" i="10"/>
  <c r="F17" i="10"/>
  <c r="E38" i="10"/>
  <c r="C12" i="10"/>
  <c r="X13" i="10"/>
  <c r="U46" i="10"/>
  <c r="X39" i="10" s="1"/>
  <c r="X53" i="10"/>
  <c r="G11" i="16" s="1"/>
  <c r="X52" i="10"/>
  <c r="X46" i="10"/>
  <c r="X42" i="10"/>
  <c r="E17" i="10"/>
  <c r="R13" i="10"/>
  <c r="H45" i="10"/>
  <c r="K12" i="10"/>
  <c r="S46" i="10" l="1"/>
  <c r="T38" i="10"/>
  <c r="F12" i="10"/>
  <c r="X47" i="10"/>
  <c r="X48" i="10"/>
  <c r="X51" i="10" s="1"/>
  <c r="K53" i="10"/>
  <c r="D11" i="16" s="1"/>
  <c r="K39" i="10"/>
  <c r="K42" i="10"/>
  <c r="K52" i="10"/>
  <c r="K45" i="10"/>
  <c r="E45" i="10"/>
  <c r="F38" i="10"/>
  <c r="F42" i="10" l="1"/>
  <c r="F53" i="10"/>
  <c r="C11" i="16" s="1"/>
  <c r="F39" i="10"/>
  <c r="F45" i="10"/>
  <c r="F52" i="10"/>
  <c r="K47" i="10"/>
  <c r="K48" i="10"/>
  <c r="K51" i="10" s="1"/>
  <c r="T42" i="10"/>
  <c r="T53" i="10"/>
  <c r="F11" i="16" s="1"/>
  <c r="T39" i="10"/>
  <c r="T52" i="10"/>
  <c r="T46" i="10"/>
  <c r="T48" i="10" l="1"/>
  <c r="T51" i="10" s="1"/>
  <c r="T47" i="10"/>
  <c r="F47" i="10"/>
  <c r="F48" i="10"/>
  <c r="F51"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<sst xmlns="http://schemas.openxmlformats.org/spreadsheetml/2006/main" count="570" uniqueCount="508">
  <si>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</si>
  <si>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</si>
  <si>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</si>
  <si>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</si>
  <si>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</si>
  <si>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</si>
  <si>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</si>
  <si>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</si>
  <si>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</si>
  <si>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</si>
  <si>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</si>
  <si>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</si>
  <si>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</si>
  <si>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</si>
  <si>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</si>
  <si>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</si>
  <si>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</si>
  <si>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</si>
  <si>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</si>
  <si>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</si>
  <si>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</si>
  <si>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</si>
  <si>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</si>
  <si>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</si>
  <si>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</si>
  <si>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</si>
  <si>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</si>
  <si>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</si>
  <si>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</si>
  <si>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</si>
  <si>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</si>
  <si>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</si>
  <si>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</si>
  <si>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</si>
  <si>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</si>
  <si>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</si>
  <si>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</si>
  <si>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</si>
  <si>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</si>
  <si>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</si>
  <si>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</si>
  <si>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</si>
  <si>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</si>
  <si>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</si>
  <si>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</si>
  <si>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</si>
  <si>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</si>
  <si>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</si>
  <si>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</si>
  <si>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</si>
  <si>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</si>
  <si>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</si>
  <si>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</si>
  <si>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</si>
  <si>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</si>
  <si>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</si>
  <si>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</si>
  <si>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</si>
  <si>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</si>
  <si>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</si>
  <si>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</si>
  <si>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</si>
  <si>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</si>
  <si>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</si>
  <si>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</si>
  <si>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</si>
  <si>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</si>
  <si>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</si>
  <si>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</si>
  <si>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</si>
  <si>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</si>
  <si>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</si>
  <si>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</si>
  <si>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</si>
  <si>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</si>
  <si>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</si>
  <si>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</si>
  <si>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</si>
  <si>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</si>
  <si>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</si>
  <si>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</si>
  <si>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</si>
  <si>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</si>
  <si>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</si>
  <si>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</si>
  <si>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</si>
  <si>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</si>
  <si>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</si>
  <si>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</si>
  <si>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</si>
  <si>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</si>
  <si>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</si>
  <si>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</si>
  <si>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</si>
  <si>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</si>
  <si>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</si>
  <si>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</si>
  <si>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</si>
  <si>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</si>
  <si>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</si>
  <si>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</si>
  <si>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</si>
  <si>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</si>
  <si>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</si>
  <si>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</si>
  <si>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</si>
  <si>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</si>
  <si>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</si>
  <si>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</si>
  <si>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</si>
  <si>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</si>
  <si>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</si>
  <si>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</si>
  <si>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</si>
  <si>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</si>
  <si>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</si>
  <si>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</si>
  <si>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</si>
  <si>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</si>
  <si>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</si>
  <si>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</si>
  <si>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</si>
  <si>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</si>
  <si>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</si>
  <si>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</si>
  <si>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</si>
  <si>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</si>
  <si>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</si>
  <si>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</si>
  <si>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</si>
  <si>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</si>
  <si>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</si>
  <si>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</si>
  <si>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</si>
  <si>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</si>
  <si>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</si>
  <si>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</si>
  <si>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</si>
  <si>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</si>
  <si>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</si>
  <si>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</si>
  <si>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</si>
  <si>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</si>
  <si>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</si>
  <si>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</si>
  <si>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</si>
  <si>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</si>
  <si>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</si>
  <si>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</si>
  <si>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</si>
  <si>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</si>
  <si>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</si>
  <si>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</si>
  <si>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</si>
  <si>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</si>
  <si>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</si>
  <si>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</si>
  <si>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</si>
  <si>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</si>
  <si>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</si>
  <si>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</si>
  <si>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</si>
  <si>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</si>
  <si>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</si>
  <si>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</si>
  <si>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</si>
  <si>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</si>
  <si>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</si>
  <si>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</si>
  <si>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</si>
  <si>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</si>
  <si>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</si>
  <si>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</si>
  <si>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</si>
  <si>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</si>
  <si>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</si>
  <si>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</si>
  <si>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</si>
  <si>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</si>
  <si>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</si>
  <si>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</si>
  <si>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</si>
  <si>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</si>
  <si>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</si>
  <si>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</si>
  <si>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</si>
  <si>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</si>
  <si>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</si>
  <si>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</si>
  <si>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</si>
  <si>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</si>
  <si>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</si>
  <si>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</si>
  <si>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</si>
  <si>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</si>
  <si>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</si>
  <si>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</si>
  <si>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</si>
  <si>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</si>
  <si>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</si>
  <si>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</si>
  <si>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</si>
  <si>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</si>
  <si>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</si>
  <si>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</si>
  <si>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</si>
  <si>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</si>
  <si>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</si>
  <si>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</si>
  <si>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</si>
  <si>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</si>
  <si>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</si>
  <si>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</si>
  <si>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</si>
  <si>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</si>
  <si>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</si>
  <si>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</si>
  <si>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</si>
  <si>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</si>
  <si>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</si>
  <si>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</si>
  <si>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</si>
  <si>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</si>
  <si>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</si>
  <si>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</si>
  <si>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</si>
  <si>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</si>
  <si>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</si>
  <si>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</si>
  <si>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</si>
  <si>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</si>
  <si>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</si>
  <si>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</si>
  <si>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</si>
  <si>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</si>
  <si>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</si>
  <si>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</si>
  <si>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</si>
  <si>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</si>
  <si>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</si>
  <si>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</si>
  <si>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</si>
  <si>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</si>
  <si>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</si>
  <si>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</si>
  <si>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</si>
  <si>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</si>
  <si>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</si>
  <si>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</si>
  <si>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</si>
  <si>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</si>
  <si>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</si>
  <si>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</si>
  <si>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</si>
  <si>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</si>
  <si>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</si>
  <si>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</si>
  <si>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</si>
  <si>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</si>
  <si>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</si>
  <si>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</si>
  <si>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</si>
  <si>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</si>
  <si>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</si>
  <si>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</si>
  <si>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</si>
  <si>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</si>
  <si>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</si>
  <si>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</si>
  <si>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</si>
  <si>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</si>
  <si>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</si>
  <si>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</si>
  <si>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</si>
  <si>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</si>
  <si>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</si>
  <si>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</si>
  <si>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</si>
  <si>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</si>
  <si>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</si>
  <si>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</si>
  <si>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</si>
  <si>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</si>
  <si>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</si>
  <si>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</si>
  <si>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</si>
  <si>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</si>
  <si>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</si>
  <si>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</si>
  <si>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</si>
  <si>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</si>
  <si>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</si>
  <si>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</si>
  <si>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</si>
  <si>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</si>
  <si>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</si>
  <si>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</si>
  <si>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</si>
  <si>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</si>
  <si>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</si>
  <si>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</si>
  <si>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</si>
  <si>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</si>
  <si>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</si>
  <si>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</si>
  <si>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</si>
  <si>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</si>
  <si>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</si>
  <si>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</si>
  <si>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</si>
  <si>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</si>
  <si>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</si>
  <si>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</si>
  <si>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</si>
  <si>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</si>
  <si>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</si>
  <si>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</si>
  <si>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</si>
  <si>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</si>
  <si>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</si>
  <si>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</si>
  <si>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</si>
  <si>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</si>
  <si>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</si>
  <si>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</si>
  <si>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</si>
  <si>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</si>
  <si>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</si>
  <si>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</si>
  <si>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</si>
  <si>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</si>
  <si>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</si>
  <si>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</si>
  <si>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</si>
  <si>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</si>
  <si>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</si>
  <si>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</si>
  <si>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</si>
  <si>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</si>
  <si>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</si>
  <si>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</si>
  <si>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</si>
  <si>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</si>
  <si>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</si>
  <si>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</si>
  <si>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</si>
  <si>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</si>
  <si>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</si>
  <si>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</si>
  <si>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</si>
  <si>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</si>
  <si>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</si>
  <si>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</si>
  <si>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</si>
  <si>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</si>
  <si>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</si>
  <si>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</si>
  <si>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</si>
  <si>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</si>
  <si>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</si>
  <si>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</si>
  <si>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</si>
  <si>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</si>
  <si>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</si>
  <si>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</si>
  <si>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</si>
  <si>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</si>
  <si>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</si>
  <si>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</si>
  <si>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</si>
  <si>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</si>
  <si>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</si>
  <si>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</si>
  <si>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</si>
  <si>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</si>
  <si>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</si>
  <si>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</si>
  <si>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</si>
  <si>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</si>
  <si>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</si>
  <si>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</si>
  <si>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</si>
  <si>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</si>
  <si>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</si>
  <si>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</si>
  <si>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</si>
  <si>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</si>
  <si>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</si>
  <si>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</si>
  <si>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</si>
  <si>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</si>
  <si>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</si>
  <si>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</si>
  <si>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</si>
  <si>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</si>
  <si>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</si>
  <si>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</si>
  <si>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</si>
  <si>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</si>
  <si>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</si>
  <si>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</si>
  <si>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</si>
  <si>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</si>
  <si>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</si>
  <si>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</si>
  <si>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</si>
  <si>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</si>
  <si>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</si>
  <si>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</si>
  <si>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</si>
  <si>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</si>
  <si>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</si>
  <si>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</si>
  <si>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</si>
  <si>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</si>
  <si>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</si>
  <si>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</si>
  <si>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</si>
  <si>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</si>
  <si>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</si>
  <si>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</si>
  <si>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</si>
  <si>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</si>
  <si>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</si>
  <si>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</si>
  <si>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</si>
  <si>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</si>
  <si>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</si>
  <si>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</si>
  <si>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</si>
  <si>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</si>
  <si>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</si>
  <si>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</si>
  <si>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</si>
  <si>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</si>
  <si>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</si>
  <si>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</si>
  <si>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</si>
  <si>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</si>
  <si>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</si>
  <si>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</si>
  <si>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</si>
  <si>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</si>
  <si>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</si>
  <si>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</si>
  <si>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</si>
  <si>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</si>
  <si>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</si>
  <si>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</si>
  <si>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</si>
  <si>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</si>
  <si>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</si>
  <si>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</si>
  <si>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</si>
  <si>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</si>
  <si>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</si>
  <si>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</si>
  <si>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</si>
  <si>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</si>
  <si>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</si>
  <si>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</si>
  <si>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</si>
  <si>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</si>
  <si>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</si>
  <si>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</si>
  <si>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</si>
  <si>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</si>
  <si>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</si>
  <si>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</si>
  <si>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</si>
  <si>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</si>
  <si>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</si>
  <si>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</si>
  <si>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</si>
  <si>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</si>
  <si>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</si>
  <si>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</si>
  <si>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</si>
  <si>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</si>
  <si>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</si>
  <si>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</si>
  <si>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</si>
  <si>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</si>
  <si>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</si>
  <si>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</si>
  <si>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</si>
  <si>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</si>
  <si>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</si>
  <si>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</si>
  <si>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</si>
  <si>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</si>
  <si>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</si>
  <si>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</si>
  <si>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</si>
  <si>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</si>
  <si>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</si>
  <si>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</si>
  <si>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</si>
  <si>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</si>
  <si>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</si>
  <si>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</si>
  <si>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</si>
  <si>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</si>
  <si>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</si>
  <si>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</si>
  <si>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92076</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</si>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</sst>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158</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3833005</v>
      </c>
      <c r="Q5" s="219">
        <f>SUM('Pt 2 Premium and Claims'!Q$5,'Pt 2 Premium and Claims'!Q$6,-'Pt 2 Premium and Claims'!Q$7,-'Pt 2 Premium and Claims'!Q$13,'Pt 2 Premium and Claims'!Q$14)</f>
        <v>3834848</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15568055</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108</v>
      </c>
      <c r="Q7" s="223">
        <v>108</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440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35547</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-6919</v>
      </c>
      <c r="E12" s="219">
        <f>'Pt 2 Premium and Claims'!E$54</f>
        <v>-448</v>
      </c>
      <c r="F12" s="219">
        <f>'Pt 2 Premium and Claims'!F$54</f>
        <v>0</v>
      </c>
      <c r="G12" s="219">
        <f>'Pt 2 Premium and Claims'!G$54</f>
        <v>0</v>
      </c>
      <c r="H12" s="219">
        <f>'Pt 2 Premium and Claims'!H$54</f>
        <v>0</v>
      </c>
      <c r="I12" s="218">
        <f>'Pt 2 Premium and Claims'!I$54</f>
        <v>0</v>
      </c>
      <c r="J12" s="218">
        <f>'Pt 2 Premium and Claims'!J$54</f>
        <v>-10270</v>
      </c>
      <c r="K12" s="219">
        <f>'Pt 2 Premium and Claims'!K$54</f>
        <v>1586</v>
      </c>
      <c r="L12" s="219">
        <f>'Pt 2 Premium and Claims'!L$54</f>
        <v>0</v>
      </c>
      <c r="M12" s="219">
        <f>'Pt 2 Premium and Claims'!M$54</f>
        <v>0</v>
      </c>
      <c r="N12" s="219">
        <f>'Pt 2 Premium and Claims'!N$54</f>
        <v>0</v>
      </c>
      <c r="O12" s="218">
        <f>'Pt 2 Premium and Claims'!O$54</f>
        <v>0</v>
      </c>
      <c r="P12" s="218">
        <f>'Pt 2 Premium and Claims'!P$54</f>
        <v>3776189</v>
      </c>
      <c r="Q12" s="219">
        <f>'Pt 2 Premium and Claims'!Q$54</f>
        <v>3353562</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9821695</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145184</v>
      </c>
      <c r="Q13" s="223">
        <v>143168</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3958</v>
      </c>
      <c r="AU13" s="226">
        <v>0</v>
      </c>
      <c r="AV13" s="296"/>
      <c r="AW13" s="303"/>
    </row>
    <row r="14" spans="1:49" ht="25.5" x14ac:dyDescent="0.2">
      <c r="B14" s="245" t="s">
        <v>231</v>
      </c>
      <c r="C14" s="209" t="s">
        <v>6</v>
      </c>
      <c r="D14" s="222">
        <v>0</v>
      </c>
      <c r="E14" s="223">
        <v>1</v>
      </c>
      <c r="F14" s="223"/>
      <c r="G14" s="273"/>
      <c r="H14" s="276"/>
      <c r="I14" s="222">
        <v>0</v>
      </c>
      <c r="J14" s="222">
        <v>0</v>
      </c>
      <c r="K14" s="223">
        <v>-1681</v>
      </c>
      <c r="L14" s="223"/>
      <c r="M14" s="273"/>
      <c r="N14" s="276"/>
      <c r="O14" s="222"/>
      <c r="P14" s="222">
        <v>40608</v>
      </c>
      <c r="Q14" s="223">
        <v>46482</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1351</v>
      </c>
      <c r="AU14" s="226">
        <v>0</v>
      </c>
      <c r="AV14" s="296"/>
      <c r="AW14" s="303"/>
    </row>
    <row r="15" spans="1:49" ht="38.25" x14ac:dyDescent="0.2">
      <c r="B15" s="245" t="s">
        <v>232</v>
      </c>
      <c r="C15" s="209" t="s">
        <v>7</v>
      </c>
      <c r="D15" s="222">
        <v>3</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-48</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148920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2253</v>
      </c>
      <c r="E25" s="223">
        <v>2253</v>
      </c>
      <c r="F25" s="223"/>
      <c r="G25" s="223"/>
      <c r="H25" s="223"/>
      <c r="I25" s="222">
        <v>0</v>
      </c>
      <c r="J25" s="222">
        <v>3344</v>
      </c>
      <c r="K25" s="223">
        <v>3344</v>
      </c>
      <c r="L25" s="223"/>
      <c r="M25" s="223"/>
      <c r="N25" s="223"/>
      <c r="O25" s="222"/>
      <c r="P25" s="222">
        <v>-116794</v>
      </c>
      <c r="Q25" s="223">
        <v>-116794</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1365168</v>
      </c>
      <c r="AU25" s="226">
        <v>0</v>
      </c>
      <c r="AV25" s="226">
        <v>1832685</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3556</v>
      </c>
      <c r="Q26" s="223">
        <v>3556</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92448</v>
      </c>
      <c r="Q27" s="223">
        <v>92448</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180602</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12919</v>
      </c>
      <c r="Q28" s="223">
        <v>12919</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20643</v>
      </c>
      <c r="AU28" s="226">
        <v>0</v>
      </c>
      <c r="AV28" s="226">
        <v>310523</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11999</v>
      </c>
      <c r="Q30" s="223">
        <v>11999</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48031</v>
      </c>
      <c r="AU30" s="226">
        <v>0</v>
      </c>
      <c r="AV30" s="226">
        <v>8119</v>
      </c>
      <c r="AW30" s="303"/>
    </row>
    <row r="31" spans="1:49" x14ac:dyDescent="0.2">
      <c r="B31" s="248" t="s">
        <v>247</v>
      </c>
      <c r="C31" s="209"/>
      <c r="D31" s="222">
        <v>0</v>
      </c>
      <c r="E31" s="223">
        <v>0</v>
      </c>
      <c r="F31" s="223"/>
      <c r="G31" s="223"/>
      <c r="H31" s="223"/>
      <c r="I31" s="222">
        <v>0</v>
      </c>
      <c r="J31" s="222">
        <v>0</v>
      </c>
      <c r="K31" s="223">
        <v>0</v>
      </c>
      <c r="L31" s="223"/>
      <c r="M31" s="223"/>
      <c r="N31" s="223"/>
      <c r="O31" s="222"/>
      <c r="P31" s="222">
        <v>65904</v>
      </c>
      <c r="Q31" s="223">
        <v>65904</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267675</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74035</v>
      </c>
      <c r="Q34" s="223">
        <v>74035</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-29</v>
      </c>
      <c r="Q35" s="223">
        <v>-29</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42</v>
      </c>
      <c r="AU35" s="226">
        <v>0</v>
      </c>
      <c r="AV35" s="226">
        <v>-70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3718</v>
      </c>
      <c r="Q37" s="231">
        <v>3725</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60</v>
      </c>
      <c r="AU37" s="232">
        <v>0</v>
      </c>
      <c r="AV37" s="232">
        <v>325877</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879</v>
      </c>
      <c r="Q38" s="223">
        <v>880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-1</v>
      </c>
      <c r="AU38" s="226">
        <v>0</v>
      </c>
      <c r="AV38" s="226">
        <v>46607</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2331</v>
      </c>
      <c r="Q39" s="223">
        <v>2266</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-348</v>
      </c>
      <c r="AU39" s="226">
        <v>0</v>
      </c>
      <c r="AV39" s="226">
        <v>7928</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162</v>
      </c>
      <c r="Q40" s="223">
        <v>162</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179</v>
      </c>
      <c r="AU40" s="226">
        <v>0</v>
      </c>
      <c r="AV40" s="226">
        <v>51052</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1912</v>
      </c>
      <c r="Q41" s="223">
        <v>1913</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1383</v>
      </c>
      <c r="AU41" s="226">
        <v>0</v>
      </c>
      <c r="AV41" s="226">
        <v>144762</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198</v>
      </c>
      <c r="Q42" s="223">
        <v>198</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5907</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59844</v>
      </c>
      <c r="Q44" s="231">
        <v>57764</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6718</v>
      </c>
      <c r="AU44" s="232">
        <v>0</v>
      </c>
      <c r="AV44" s="232">
        <v>1620334</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942</v>
      </c>
      <c r="Q45" s="223">
        <v>942</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694</v>
      </c>
      <c r="AU45" s="226">
        <v>0</v>
      </c>
      <c r="AV45" s="226">
        <v>-1407</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27396</v>
      </c>
      <c r="Q46" s="223">
        <v>27396</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45851</v>
      </c>
      <c r="AU46" s="226">
        <v>0</v>
      </c>
      <c r="AV46" s="226">
        <v>519047</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85330</v>
      </c>
      <c r="Q47" s="223">
        <v>85330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401830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78</v>
      </c>
      <c r="Q49" s="223">
        <v>78</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-1</v>
      </c>
      <c r="AU49" s="226">
        <v>0</v>
      </c>
      <c r="AV49" s="226">
        <v>196</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238</v>
      </c>
      <c r="Q50" s="223">
        <v>238</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55</v>
      </c>
      <c r="AU50" s="226">
        <v>0</v>
      </c>
      <c r="AV50" s="226">
        <v>500</v>
      </c>
      <c r="AW50" s="303"/>
    </row>
    <row r="51" spans="2:49" x14ac:dyDescent="0.2">
      <c r="B51" s="245" t="s">
        <v>266</v>
      </c>
      <c r="C51" s="209"/>
      <c r="D51" s="222">
        <v>0</v>
      </c>
      <c r="E51" s="223">
        <v>0</v>
      </c>
      <c r="F51" s="223"/>
      <c r="G51" s="223"/>
      <c r="H51" s="223"/>
      <c r="I51" s="222">
        <v>0</v>
      </c>
      <c r="J51" s="222">
        <v>0</v>
      </c>
      <c r="K51" s="223">
        <v>0</v>
      </c>
      <c r="L51" s="223"/>
      <c r="M51" s="223"/>
      <c r="N51" s="223"/>
      <c r="O51" s="222"/>
      <c r="P51" s="222">
        <v>64249</v>
      </c>
      <c r="Q51" s="223">
        <v>64249</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796437</v>
      </c>
      <c r="AU51" s="226">
        <v>0</v>
      </c>
      <c r="AV51" s="226">
        <v>8382924</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311</v>
      </c>
      <c r="Q53" s="223">
        <v>311</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4677</v>
      </c>
      <c r="AU53" s="226">
        <v>0</v>
      </c>
      <c r="AV53" s="226">
        <v>17401</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17051436</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336</v>
      </c>
      <c r="Q56" s="235">
        <v>336</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19335</v>
      </c>
      <c r="AU56" s="236">
        <v>0</v>
      </c>
      <c r="AV56" s="236">
        <v>38723</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834</v>
      </c>
      <c r="Q57" s="238">
        <v>834</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38742</v>
      </c>
      <c r="AU57" s="239">
        <v>0</v>
      </c>
      <c r="AV57" s="239">
        <v>91377</v>
      </c>
      <c r="AW57" s="295"/>
    </row>
    <row r="58" spans="2:49" x14ac:dyDescent="0.2">
      <c r="B58" s="251" t="s">
        <v>273</v>
      </c>
      <c r="C58" s="209" t="s">
        <v>26</v>
      </c>
      <c r="D58" s="315"/>
      <c r="E58" s="316"/>
      <c r="F58" s="316"/>
      <c r="G58" s="316"/>
      <c r="H58" s="316"/>
      <c r="I58" s="315"/>
      <c r="J58" s="237">
        <v>0</v>
      </c>
      <c r="K58" s="238">
        <v>0</v>
      </c>
      <c r="L58" s="238"/>
      <c r="M58" s="238"/>
      <c r="N58" s="238"/>
      <c r="O58" s="237"/>
      <c r="P58" s="237">
        <v>3</v>
      </c>
      <c r="Q58" s="238">
        <v>3</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164</v>
      </c>
      <c r="AU58" s="239">
        <v>0</v>
      </c>
      <c r="AV58" s="239">
        <v>74</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10971</v>
      </c>
      <c r="Q59" s="238">
        <v>10971</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453831</v>
      </c>
      <c r="AU59" s="239">
        <v>0</v>
      </c>
      <c r="AV59" s="239">
        <v>1115297</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914.25</v>
      </c>
      <c r="Q60" s="241">
        <f>Q$59/12</f>
        <v>914.25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37819.25</v>
      </c>
      <c r="AU60" s="242">
        <f>AU$59/12</f>
        <v>0</v>
      </c>
      <c r="AV60" s="242">
        <f>AV$59/12</f>
        <v>92941.416666666672</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579299</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242673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-32184</v>
      </c>
      <c r="E5" s="332">
        <v>-32184</v>
      </c>
      <c r="F5" s="332"/>
      <c r="G5" s="334"/>
      <c r="H5" s="334"/>
      <c r="I5" s="331">
        <v>0</v>
      </c>
      <c r="J5" s="331">
        <v>0</v>
      </c>
      <c r="K5" s="332">
        <v>0</v>
      </c>
      <c r="L5" s="332"/>
      <c r="M5" s="332"/>
      <c r="N5" s="332"/>
      <c r="O5" s="331"/>
      <c r="P5" s="331">
        <v>3829903</v>
      </c>
      <c r="Q5" s="332">
        <v>3830335</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15546989</v>
      </c>
      <c r="AU5" s="333">
        <v>0</v>
      </c>
      <c r="AV5" s="375"/>
      <c r="AW5" s="379"/>
    </row>
    <row r="6" spans="2:49" x14ac:dyDescent="0.2">
      <c r="B6" s="349" t="s">
        <v>278</v>
      </c>
      <c r="C6" s="337" t="s">
        <v>8</v>
      </c>
      <c r="D6" s="324">
        <v>32184</v>
      </c>
      <c r="E6" s="325">
        <v>32184</v>
      </c>
      <c r="F6" s="325"/>
      <c r="G6" s="326"/>
      <c r="H6" s="326"/>
      <c r="I6" s="324">
        <v>0</v>
      </c>
      <c r="J6" s="324">
        <v>0</v>
      </c>
      <c r="K6" s="325">
        <v>0</v>
      </c>
      <c r="L6" s="325"/>
      <c r="M6" s="325"/>
      <c r="N6" s="325"/>
      <c r="O6" s="324"/>
      <c r="P6" s="324">
        <v>4513</v>
      </c>
      <c r="Q6" s="325">
        <v>4513</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75677</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1411</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53932</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100324</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100324</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246989</v>
      </c>
      <c r="Q11" s="325">
        <v>-64423</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311412</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679</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623</v>
      </c>
      <c r="E23" s="368"/>
      <c r="F23" s="368"/>
      <c r="G23" s="368"/>
      <c r="H23" s="368"/>
      <c r="I23" s="370"/>
      <c r="J23" s="324">
        <v>1003</v>
      </c>
      <c r="K23" s="368"/>
      <c r="L23" s="368"/>
      <c r="M23" s="368"/>
      <c r="N23" s="368"/>
      <c r="O23" s="370"/>
      <c r="P23" s="324">
        <v>3735911</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9863316</v>
      </c>
      <c r="AU23" s="327">
        <v>0</v>
      </c>
      <c r="AV23" s="374"/>
      <c r="AW23" s="380"/>
    </row>
    <row r="24" spans="2:49" ht="28.5" customHeight="1" x14ac:dyDescent="0.2">
      <c r="B24" s="351" t="s">
        <v>114</v>
      </c>
      <c r="C24" s="337"/>
      <c r="D24" s="371"/>
      <c r="E24" s="325">
        <v>619</v>
      </c>
      <c r="F24" s="325"/>
      <c r="G24" s="325"/>
      <c r="H24" s="325"/>
      <c r="I24" s="324">
        <v>0</v>
      </c>
      <c r="J24" s="371"/>
      <c r="K24" s="325">
        <v>1684</v>
      </c>
      <c r="L24" s="325"/>
      <c r="M24" s="325"/>
      <c r="N24" s="325"/>
      <c r="O24" s="324"/>
      <c r="P24" s="371"/>
      <c r="Q24" s="325">
        <v>3240736</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973143</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1382960</v>
      </c>
      <c r="AU26" s="327">
        <v>0</v>
      </c>
      <c r="AV26" s="374"/>
      <c r="AW26" s="380"/>
    </row>
    <row r="27" spans="2:49" s="11" customFormat="1" ht="25.5" x14ac:dyDescent="0.2">
      <c r="B27" s="351" t="s">
        <v>85</v>
      </c>
      <c r="C27" s="337"/>
      <c r="D27" s="371"/>
      <c r="E27" s="325">
        <v>-999</v>
      </c>
      <c r="F27" s="325"/>
      <c r="G27" s="325"/>
      <c r="H27" s="325"/>
      <c r="I27" s="324">
        <v>0</v>
      </c>
      <c r="J27" s="371"/>
      <c r="K27" s="325">
        <v>0</v>
      </c>
      <c r="L27" s="325"/>
      <c r="M27" s="325"/>
      <c r="N27" s="325"/>
      <c r="O27" s="324"/>
      <c r="P27" s="371"/>
      <c r="Q27" s="325">
        <v>77365</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7445</v>
      </c>
      <c r="E28" s="369"/>
      <c r="F28" s="369"/>
      <c r="G28" s="369"/>
      <c r="H28" s="369"/>
      <c r="I28" s="371"/>
      <c r="J28" s="324">
        <v>11376</v>
      </c>
      <c r="K28" s="369"/>
      <c r="L28" s="369"/>
      <c r="M28" s="369"/>
      <c r="N28" s="369"/>
      <c r="O28" s="371"/>
      <c r="P28" s="324">
        <v>1003257</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1390306</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5959</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30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40234</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4824</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4824</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68</v>
      </c>
      <c r="E36" s="325">
        <v>68</v>
      </c>
      <c r="F36" s="325"/>
      <c r="G36" s="325"/>
      <c r="H36" s="325"/>
      <c r="I36" s="324">
        <v>0</v>
      </c>
      <c r="J36" s="324">
        <v>98</v>
      </c>
      <c r="K36" s="325">
        <v>98</v>
      </c>
      <c r="L36" s="325"/>
      <c r="M36" s="325"/>
      <c r="N36" s="325"/>
      <c r="O36" s="324"/>
      <c r="P36" s="324">
        <v>9204</v>
      </c>
      <c r="Q36" s="325">
        <v>9204</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100324</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100324</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246989</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-64423</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311412</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3937</v>
      </c>
      <c r="Q45" s="325">
        <v>3937</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-941</v>
      </c>
      <c r="K49" s="325">
        <v>0</v>
      </c>
      <c r="L49" s="325"/>
      <c r="M49" s="325"/>
      <c r="N49" s="325"/>
      <c r="O49" s="324"/>
      <c r="P49" s="324">
        <v>-2389</v>
      </c>
      <c r="Q49" s="325">
        <v>-3</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1</v>
      </c>
      <c r="E50" s="369"/>
      <c r="F50" s="369"/>
      <c r="G50" s="369"/>
      <c r="H50" s="369"/>
      <c r="I50" s="371"/>
      <c r="J50" s="324">
        <v>-740</v>
      </c>
      <c r="K50" s="369"/>
      <c r="L50" s="369"/>
      <c r="M50" s="369"/>
      <c r="N50" s="369"/>
      <c r="O50" s="371"/>
      <c r="P50" s="324">
        <v>32545</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-6919</v>
      </c>
      <c r="E54" s="329">
        <f>E24+E27+E31+E35-E36+E39+E42+E45+E46-E49+E51+E52+E53</f>
        <v>-448</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-10270</v>
      </c>
      <c r="K54" s="329">
        <f>K24+K27+K31+K35-K36+K39+K42+K45+K46-K49+K51+K52+K53</f>
        <v>1586</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3776189</v>
      </c>
      <c r="Q54" s="329">
        <f>Q24+Q27+Q31+Q35-Q36+Q39+Q42+Q45+Q46-Q49+Q51+Q52+Q53</f>
        <v>3353562</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9821695</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9115070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16248</v>
      </c>
      <c r="D6" s="404">
        <v>-48280</v>
      </c>
      <c r="E6" s="406">
        <f>SUM('Pt 1 Summary of Data'!E$12,'Pt 1 Summary of Data'!E$22)+SUM('Pt 1 Summary of Data'!G$12,'Pt 1 Summary of Data'!G$22)-SUM('Pt 1 Summary of Data'!H$12,'Pt 1 Summary of Data'!H$22)</f>
        <v>-448</v>
      </c>
      <c r="F6" s="406">
        <f>SUM(C6:E6)</f>
        <v>-32480</v>
      </c>
      <c r="G6" s="407">
        <f>SUM('Pt 1 Summary of Data'!I$12,'Pt 1 Summary of Data'!I$22)</f>
        <v>0</v>
      </c>
      <c r="H6" s="403">
        <v>446410</v>
      </c>
      <c r="I6" s="404">
        <v>258532</v>
      </c>
      <c r="J6" s="406">
        <f>SUM('Pt 1 Summary of Data'!K$12,'Pt 1 Summary of Data'!K$22)+SUM('Pt 1 Summary of Data'!M$12,'Pt 1 Summary of Data'!M$22)-SUM('Pt 1 Summary of Data'!N$12,'Pt 1 Summary of Data'!N$22)</f>
        <v>1586</v>
      </c>
      <c r="K6" s="406">
        <f>SUM(H6:J6)</f>
        <v>706528</v>
      </c>
      <c r="L6" s="407">
        <f>SUM('Pt 1 Summary of Data'!O$12,'Pt 1 Summary of Data'!O$22)</f>
        <v>0</v>
      </c>
      <c r="M6" s="403">
        <v>1400294</v>
      </c>
      <c r="N6" s="404">
        <v>3101828</v>
      </c>
      <c r="O6" s="406">
        <f>SUM('Pt 1 Summary of Data'!Q$12,'Pt 1 Summary of Data'!Q$22)+SUM('Pt 1 Summary of Data'!S$12,'Pt 1 Summary of Data'!S$22)-SUM('Pt 1 Summary of Data'!T$12,'Pt 1 Summary of Data'!T$22)</f>
        <v>3353562</v>
      </c>
      <c r="P6" s="406">
        <f>SUM(M6:O6)</f>
        <v>7855684</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379</v>
      </c>
      <c r="D7" s="404">
        <v>29</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408</v>
      </c>
      <c r="G7" s="407">
        <f>SUM('Pt 1 Summary of Data'!I$37:I$41)+MAX(0,MIN(VALUE('Pt 1 Summary of Data'!I$42),0.3%*('Pt 1 Summary of Data'!I$5-SUM(G$9:G$10))))</f>
        <v>0</v>
      </c>
      <c r="H7" s="403">
        <v>1529</v>
      </c>
      <c r="I7" s="404">
        <v>263</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1792</v>
      </c>
      <c r="L7" s="407">
        <f>SUM('Pt 1 Summary of Data'!O$37:O$41)+MAX(0,MIN(VALUE('Pt 1 Summary of Data'!O$42),0.3%*('Pt 1 Summary of Data'!O$5-L$10)))</f>
        <v>0</v>
      </c>
      <c r="M7" s="403">
        <v>12959</v>
      </c>
      <c r="N7" s="404">
        <v>8237</v>
      </c>
      <c r="O7" s="406">
        <f>SUM('Pt 1 Summary of Data'!Q$37:Q$41)+SUM('Pt 1 Summary of Data'!S$37:S$41)-SUM('Pt 1 Summary of Data'!T$37:T$41)+MAX(0,MIN('Pt 1 Summary of Data'!Q$42+'Pt 1 Summary of Data'!S$42-'Pt 1 Summary of Data'!T$42,0.3%*('Pt 1 Summary of Data'!Q$5+'Pt 1 Summary of Data'!S$5-'Pt 1 Summary of Data'!T$5)))</f>
        <v>9144</v>
      </c>
      <c r="P7" s="406">
        <f>SUM(M7:O7)</f>
        <v>30340</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16627</v>
      </c>
      <c r="D12" s="406">
        <f>SUM(D$6:D$7) - SUM(D$8:D$11)+IF(AND(OR('Company Information'!$C$12="District of Columbia",'Company Information'!$C$12="Massachusetts",'Company Information'!$C$12="Vermont"),SUM($C$6:$F$11,$C$15:$F$16,$C$38:$D$38)&lt;&gt;0),SUM(I$6:I$7) - SUM(I$10:I$11),0)</f>
        <v>-48251</v>
      </c>
      <c r="E12" s="406">
        <f>SUM(E$6:E$7)-SUM(E$8:E$11)+IF(AND(OR('Company Information'!$C$12="District of Columbia",'Company Information'!$C$12="Massachusetts",'Company Information'!$C$12="Vermont"),SUM($C$6:$F$11,$C$15:$F$16,$C$38:$D$38)&lt;&gt;0),SUM(J$6:J$7)-SUM(J$10:J$11),0)</f>
        <v>-448</v>
      </c>
      <c r="F12" s="406">
        <f>IFERROR(SUM(C$12:E$12)+C$17*MAX(0,E$50-C$50)+D$17*MAX(0,E$50-D$50),0)</f>
        <v>-32072</v>
      </c>
      <c r="G12" s="453"/>
      <c r="H12" s="405">
        <f>SUM(H$6:H$7)+IF(AND(OR('Company Information'!$C$12="District of Columbia",'Company Information'!$C$12="Massachusetts",'Company Information'!$C$12="Vermont"),SUM($H$6:$K$11,$H$15:$K$16,$H$38:$I$38)&lt;&gt;0),SUM(C$6:C$7),0)</f>
        <v>447939</v>
      </c>
      <c r="I12" s="406">
        <f>SUM(I$6:I$7) - SUM(I$10:I$11)+IF(AND(OR('Company Information'!$C$12="District of Columbia",'Company Information'!$C$12="Massachusetts",'Company Information'!$C$12="Vermont"),SUM($H$6:$K$11,$H$15:$K$16,$H$38:$I$38)&lt;&gt;0),SUM(D$6:D$7) - SUM(D$8:D$11),0)</f>
        <v>258795</v>
      </c>
      <c r="J12" s="406">
        <f>SUM(J$6:J$7)-SUM(J$10:J$11)+IF(AND(OR('Company Information'!$C$12="District of Columbia",'Company Information'!$C$12="Massachusetts",'Company Information'!$C$12="Vermont"),SUM($H$6:$K$11,$H$15:$K$16,$H$38:$I$38)&lt;&gt;0),SUM(E$6:E$7)-SUM(E$8:E$11),0)</f>
        <v>1586</v>
      </c>
      <c r="K12" s="406">
        <f>IFERROR(SUM(H$12:J$12)+H$17*MAX(0,J$50-H$50)+I$17*MAX(0,J$50-I$50),0)</f>
        <v>708320</v>
      </c>
      <c r="L12" s="453"/>
      <c r="M12" s="405">
        <f>SUM(M$6:M$7)</f>
        <v>1413253</v>
      </c>
      <c r="N12" s="406">
        <f>SUM(N$6:N$7)</f>
        <v>3110065</v>
      </c>
      <c r="O12" s="406">
        <f>SUM(O$6:O$7)</f>
        <v>3362706</v>
      </c>
      <c r="P12" s="406">
        <f>SUM(M$12:O$12)+M$17*MAX(0,O$50-M$50)+N$17*MAX(0,O$50-N$50)</f>
        <v>7886024</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62556</v>
      </c>
      <c r="D15" s="409">
        <v>17832</v>
      </c>
      <c r="E15" s="401">
        <f>SUM('Pt 1 Summary of Data'!E$5:E$7)+SUM('Pt 1 Summary of Data'!G$5:G$7)-SUM('Pt 1 Summary of Data'!H$5:H$7)-SUM(E$9:E$11)</f>
        <v>0</v>
      </c>
      <c r="F15" s="401">
        <f>SUM(C15:E15)</f>
        <v>80388</v>
      </c>
      <c r="G15" s="402">
        <f>SUM('Pt 1 Summary of Data'!I$5:I$7)-SUM(G$9:G$10)</f>
        <v>0</v>
      </c>
      <c r="H15" s="408">
        <v>275172</v>
      </c>
      <c r="I15" s="409">
        <v>137273</v>
      </c>
      <c r="J15" s="401">
        <f>SUM('Pt 1 Summary of Data'!K$5:K$7)+SUM('Pt 1 Summary of Data'!M$5:M$7)-SUM('Pt 1 Summary of Data'!N$5:N$7)-SUM(J$10:J$11)</f>
        <v>0</v>
      </c>
      <c r="K15" s="401">
        <f>SUM(H15:J15)</f>
        <v>412445</v>
      </c>
      <c r="L15" s="402">
        <f>SUM('Pt 1 Summary of Data'!O$5:O$7)-L$10</f>
        <v>0</v>
      </c>
      <c r="M15" s="408">
        <v>2400716</v>
      </c>
      <c r="N15" s="409">
        <v>4279200</v>
      </c>
      <c r="O15" s="401">
        <f>SUM('Pt 1 Summary of Data'!Q$5:Q$7)+SUM('Pt 1 Summary of Data'!S$5:S$7)-SUM('Pt 1 Summary of Data'!T$5:T$7)+N$56</f>
        <v>3834956</v>
      </c>
      <c r="P15" s="401">
        <f>SUM(M15:O15)</f>
        <v>10514872</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15069</v>
      </c>
      <c r="D16" s="404">
        <v>23165</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2253</v>
      </c>
      <c r="F16" s="406">
        <f>SUM(C16:E16)</f>
        <v>40487</v>
      </c>
      <c r="G16" s="407">
        <f>SUM('Pt 1 Summary of Data'!I$25:I$28,'Pt 1 Summary of Data'!I$30,'Pt 1 Summary of Data'!I$34:I$35)+IF('Company Information'!$C$15="No",IF(MAX('Pt 1 Summary of Data'!I$31:I$32)=0,MIN('Pt 1 Summary of Data'!I$31:I$32),MAX('Pt 1 Summary of Data'!I$31:I$32)),SUM('Pt 1 Summary of Data'!I$31:I$32))</f>
        <v>0</v>
      </c>
      <c r="H16" s="403">
        <v>-24328</v>
      </c>
      <c r="I16" s="404">
        <v>-85403</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3344</v>
      </c>
      <c r="K16" s="406">
        <f>SUM(H16:J16)</f>
        <v>-106387</v>
      </c>
      <c r="L16" s="407">
        <f>SUM('Pt 1 Summary of Data'!O$25:O$28,'Pt 1 Summary of Data'!O$30,'Pt 1 Summary of Data'!O$34:O$35)+IF('Company Information'!$C$15="No",IF(MAX('Pt 1 Summary of Data'!O$31:O$32)=0,MIN('Pt 1 Summary of Data'!O$31:O$32),MAX('Pt 1 Summary of Data'!O$31:O$32)),SUM('Pt 1 Summary of Data'!O$31:O$32))</f>
        <v>0</v>
      </c>
      <c r="M16" s="403">
        <v>283299</v>
      </c>
      <c r="N16" s="404">
        <v>636770</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144038</v>
      </c>
      <c r="P16" s="406">
        <f>SUM(M16:O16)</f>
        <v>1064107</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47487</v>
      </c>
      <c r="D17" s="406">
        <f>D$15-D$16+IF(AND(OR('Company Information'!$C$12="District of Columbia",'Company Information'!$C$12="Massachusetts",'Company Information'!$C$12="Vermont"),SUM($C$6:$F$11,$C$15:$F$16,$C$38:$D$38)&lt;&gt;0),I$15-I$16,0)</f>
        <v>-5333</v>
      </c>
      <c r="E17" s="406">
        <f>E$15-E$16+IF(AND(OR('Company Information'!$C$12="District of Columbia",'Company Information'!$C$12="Massachusetts",'Company Information'!$C$12="Vermont"),SUM($C$6:$F$11,$C$15:$F$16,$C$38:$D$38)&lt;&gt;0),J$15-J$16,0)</f>
        <v>-2253</v>
      </c>
      <c r="F17" s="406">
        <f>F$15-F$16+IF(AND(OR('Company Information'!$C$12="District of Columbia",'Company Information'!$C$12="Massachusetts",'Company Information'!$C$12="Vermont"),SUM($C$6:$F$11,$C$15:$F$16,$C$38:$D$38)&lt;&gt;0),K$15-K$16,0)</f>
        <v>39901</v>
      </c>
      <c r="G17" s="456"/>
      <c r="H17" s="405">
        <f>H$15-H$16+IF(AND(OR('Company Information'!$C$12="District of Columbia",'Company Information'!$C$12="Massachusetts",'Company Information'!$C$12="Vermont"),SUM($H$6:$K$11,$H$15:$K$16,$H$38:$I$38)&lt;&gt;0),C$15-C$16,0)</f>
        <v>299500</v>
      </c>
      <c r="I17" s="406">
        <f>I$15-I$16+IF(AND(OR('Company Information'!$C$12="District of Columbia",'Company Information'!$C$12="Massachusetts",'Company Information'!$C$12="Vermont"),SUM($H$6:$K$11,$H$15:$K$16,$H$38:$I$38)&lt;&gt;0),D$15-D$16,0)</f>
        <v>222676</v>
      </c>
      <c r="J17" s="406">
        <f>J$15-J$16+IF(AND(OR('Company Information'!$C$12="District of Columbia",'Company Information'!$C$12="Massachusetts",'Company Information'!$C$12="Vermont"),SUM($H$6:$K$11,$H$15:$K$16,$H$38:$I$38)&lt;&gt;0),E$15-E$16,0)</f>
        <v>-3344</v>
      </c>
      <c r="K17" s="406">
        <f>K$15-K$16+IF(AND(OR('Company Information'!$C$12="District of Columbia",'Company Information'!$C$12="Massachusetts",'Company Information'!$C$12="Vermont"),SUM($H$6:$K$11,$H$15:$K$16,$H$38:$I$38)&lt;&gt;0),F$15-F$16,0)</f>
        <v>518832</v>
      </c>
      <c r="L17" s="456"/>
      <c r="M17" s="405">
        <f>M$15-M$16</f>
        <v>2117417</v>
      </c>
      <c r="N17" s="406">
        <f>N$15-N$16</f>
        <v>3642430</v>
      </c>
      <c r="O17" s="406">
        <f>O$15-O$16</f>
        <v>3690918</v>
      </c>
      <c r="P17" s="406">
        <f>P$15-P$16</f>
        <v>9450765</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18.7867</v>
      </c>
      <c r="D38" s="411">
        <v>5.3075000000000001</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24.094200000000001</v>
      </c>
      <c r="G38" s="454"/>
      <c r="H38" s="410">
        <v>68.416700000000006</v>
      </c>
      <c r="I38" s="411">
        <v>32.5</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100.91670000000001</v>
      </c>
      <c r="L38" s="454"/>
      <c r="M38" s="410">
        <v>599.36500000000001</v>
      </c>
      <c r="N38" s="411">
        <v>928.56079999999997</v>
      </c>
      <c r="O38" s="438">
        <f>('Pt 1 Summary of Data'!Q$59+'Pt 1 Summary of Data'!S$59-'Pt 1 Summary of Data'!T$59)/12</f>
        <v>914.25</v>
      </c>
      <c r="P38" s="438">
        <f>SUM(M$38:O$38)</f>
        <v>2442.1758</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5.3195033466666666E-2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5.3195033466666666E-2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f>IF(OR(P$38&lt;1000,P$17&lt;=0),"",P$12/P$17)</f>
        <v>0.83443234489483131</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5.3195033466666666E-2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0.88800000000000001</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0.88800000000000001</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3690918</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3466</v>
      </c>
      <c r="I56" s="447"/>
      <c r="J56" s="447"/>
      <c r="K56" s="447"/>
      <c r="L56" s="453"/>
      <c r="M56" s="403">
        <v>16571</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1269</v>
      </c>
      <c r="I57" s="447"/>
      <c r="J57" s="447"/>
      <c r="K57" s="447"/>
      <c r="L57" s="453"/>
      <c r="M57" s="403">
        <v>6068</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336</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2016-07-29T14:06:16Z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