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c r="Q36" i="18"/>
  <c r="Q54" i="18" s="1"/>
  <c r="Q12" i="4" s="1"/>
  <c r="O6" i="10" s="1"/>
  <c r="Q35" i="18"/>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c r="E36" i="18"/>
  <c r="E54" i="18" s="1"/>
  <c r="E12" i="4" s="1"/>
  <c r="E6" i="10" s="1"/>
  <c r="E35" i="18"/>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22" i="4"/>
  <c r="Q7" i="4"/>
  <c r="Q6" i="4"/>
  <c r="Q5" i="4"/>
  <c r="O15" i="10" s="1"/>
  <c r="P60" i="4"/>
  <c r="P22" i="4"/>
  <c r="P12" i="4"/>
  <c r="P5" i="4"/>
  <c r="O60" i="4"/>
  <c r="O22" i="4"/>
  <c r="O12" i="4"/>
  <c r="L6" i="10" s="1"/>
  <c r="L20"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D60" i="4"/>
  <c r="D22" i="4"/>
  <c r="D12" i="4"/>
  <c r="D5" i="4"/>
  <c r="G25" i="10" l="1"/>
  <c r="G21" i="10"/>
  <c r="AB37" i="10"/>
  <c r="K6" i="10"/>
  <c r="H12" i="10" s="1"/>
  <c r="I17" i="10"/>
  <c r="I44" i="10" s="1"/>
  <c r="P37" i="10"/>
  <c r="T37" i="10"/>
  <c r="F6" i="10"/>
  <c r="S6" i="10"/>
  <c r="AA6" i="10"/>
  <c r="E15" i="10"/>
  <c r="F37" i="10"/>
  <c r="T15" i="10"/>
  <c r="X37" i="10"/>
  <c r="P6" i="10"/>
  <c r="K15" i="10"/>
  <c r="K17" i="10" s="1"/>
  <c r="J17" i="10"/>
  <c r="J44" i="10" s="1"/>
  <c r="K37" i="10"/>
  <c r="X6" i="10"/>
  <c r="P15" i="10"/>
  <c r="P17" i="10" s="1"/>
  <c r="O17" i="10"/>
  <c r="L29" i="10"/>
  <c r="L25" i="10"/>
  <c r="L21" i="10"/>
  <c r="L28" i="10"/>
  <c r="J7" i="10"/>
  <c r="K7" i="10" s="1"/>
  <c r="M44" i="10"/>
  <c r="S7" i="10"/>
  <c r="T7" i="10" s="1"/>
  <c r="Z45" i="10"/>
  <c r="AA15" i="10"/>
  <c r="E7" i="10"/>
  <c r="F7" i="10" s="1"/>
  <c r="L19" i="10"/>
  <c r="L24" i="10" s="1"/>
  <c r="L23" i="10" s="1"/>
  <c r="L27" i="10" s="1"/>
  <c r="O7" i="10"/>
  <c r="P7" i="10" s="1"/>
  <c r="W15" i="10"/>
  <c r="G7" i="10"/>
  <c r="G20" i="10" s="1"/>
  <c r="L31" i="10" l="1"/>
  <c r="L32" i="10" s="1"/>
  <c r="L33" i="10" s="1"/>
  <c r="L26" i="10"/>
  <c r="L30" i="10" s="1"/>
  <c r="U17" i="10"/>
  <c r="F15" i="10"/>
  <c r="F17" i="10" s="1"/>
  <c r="E17" i="10"/>
  <c r="E44" i="10" s="1"/>
  <c r="D12" i="10"/>
  <c r="C17" i="10"/>
  <c r="V13" i="10"/>
  <c r="O12" i="10"/>
  <c r="P12" i="10" s="1"/>
  <c r="P44" i="10" s="1"/>
  <c r="AA13" i="10"/>
  <c r="AB6" i="10"/>
  <c r="AB13" i="10" s="1"/>
  <c r="C12" i="10"/>
  <c r="T51" i="10"/>
  <c r="T52" i="10" s="1"/>
  <c r="F11" i="16" s="1"/>
  <c r="T46" i="10"/>
  <c r="T38" i="10"/>
  <c r="T41" i="10"/>
  <c r="AB41" i="10"/>
  <c r="AB51" i="10"/>
  <c r="AB52" i="10" s="1"/>
  <c r="H11" i="16" s="1"/>
  <c r="AB46" i="10"/>
  <c r="AB38" i="10"/>
  <c r="G19" i="10"/>
  <c r="G24" i="10" s="1"/>
  <c r="G23" i="10" s="1"/>
  <c r="G27" i="10" s="1"/>
  <c r="W13" i="10"/>
  <c r="X41" i="10"/>
  <c r="X51" i="10"/>
  <c r="X52" i="10" s="1"/>
  <c r="G11" i="16" s="1"/>
  <c r="X46" i="10"/>
  <c r="X38" i="10"/>
  <c r="F51" i="10"/>
  <c r="F52" i="10" s="1"/>
  <c r="C11" i="16" s="1"/>
  <c r="F46" i="10"/>
  <c r="F44" i="10"/>
  <c r="F47" i="10" s="1"/>
  <c r="F50" i="10" s="1"/>
  <c r="F41" i="10"/>
  <c r="T6" i="10"/>
  <c r="S17" i="10" s="1"/>
  <c r="S45" i="10" s="1"/>
  <c r="Q17" i="10"/>
  <c r="Q13" i="10"/>
  <c r="R13" i="10"/>
  <c r="D17" i="10"/>
  <c r="D44" i="10" s="1"/>
  <c r="I12" i="10"/>
  <c r="H17" i="10"/>
  <c r="G29" i="10"/>
  <c r="W17" i="10"/>
  <c r="W45" i="10" s="1"/>
  <c r="X15" i="10"/>
  <c r="AA17" i="10"/>
  <c r="AA45" i="10" s="1"/>
  <c r="AB15" i="10"/>
  <c r="AB17" i="10" s="1"/>
  <c r="AB45" i="10" s="1"/>
  <c r="AB47" i="10" s="1"/>
  <c r="AB50" i="10" s="1"/>
  <c r="G28" i="10"/>
  <c r="K51" i="10"/>
  <c r="K52" i="10" s="1"/>
  <c r="D11" i="16" s="1"/>
  <c r="K46" i="10"/>
  <c r="K44" i="10"/>
  <c r="K47" i="10" s="1"/>
  <c r="K50" i="10" s="1"/>
  <c r="K41" i="10"/>
  <c r="E12" i="10"/>
  <c r="P51" i="10"/>
  <c r="J12" i="10"/>
  <c r="G26" i="10" l="1"/>
  <c r="G30" i="10" s="1"/>
  <c r="G31" i="10"/>
  <c r="G32" i="10" s="1"/>
  <c r="G33" i="10" s="1"/>
  <c r="Q45" i="10"/>
  <c r="X17" i="10"/>
  <c r="X45" i="10" s="1"/>
  <c r="X47" i="10" s="1"/>
  <c r="X50" i="10" s="1"/>
  <c r="U13" i="10"/>
  <c r="R17" i="10"/>
  <c r="R45" i="10" s="1"/>
  <c r="V17" i="10"/>
  <c r="V45" i="10" s="1"/>
  <c r="U45" i="10"/>
  <c r="X13" i="10"/>
  <c r="H44" i="10"/>
  <c r="K38" i="10" s="1"/>
  <c r="K12" i="10"/>
  <c r="S13" i="10"/>
  <c r="T17" i="10"/>
  <c r="T45" i="10" s="1"/>
  <c r="T47" i="10" s="1"/>
  <c r="T50" i="10" s="1"/>
  <c r="F12" i="10"/>
  <c r="C44" i="10"/>
  <c r="F38" i="10" s="1"/>
  <c r="O44" i="10"/>
  <c r="P38" i="10" s="1"/>
  <c r="P41" i="10" s="1"/>
  <c r="P46" i="10" s="1"/>
  <c r="P47" i="10" s="1"/>
  <c r="P50" i="10" s="1"/>
  <c r="P52" i="10" s="1"/>
  <c r="E11" i="16" s="1"/>
  <c r="T13" i="10" l="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<sst xmlns="http://schemas.openxmlformats.org/spreadsheetml/2006/main" count="568" uniqueCount="506">
  <si>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</si>
  <si>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</si>
  <si>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</si>
  <si>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</si>
  <si>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</si>
  <si>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</si>
  <si>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</si>
  <si>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</si>
  <si>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</si>
  <si>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</si>
  <si>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</si>
  <si>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</si>
  <si>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</si>
  <si>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</si>
  <si>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</si>
  <si>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</si>
  <si>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</si>
  <si>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</si>
  <si>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</si>
  <si>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</si>
  <si>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</si>
  <si>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</si>
  <si>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</si>
  <si>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</si>
  <si>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</si>
  <si>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</si>
  <si>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</si>
  <si>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</si>
  <si>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</si>
  <si>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</si>
  <si>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</si>
  <si>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</si>
  <si>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</si>
  <si>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</si>
  <si>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</si>
  <si>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</si>
  <si>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</si>
  <si>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</si>
  <si>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</si>
  <si>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</si>
  <si>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</si>
  <si>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</si>
  <si>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</si>
  <si>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</si>
  <si>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</si>
  <si>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</si>
  <si>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</si>
  <si>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</si>
  <si>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</si>
  <si>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</si>
  <si>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</si>
  <si>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</si>
  <si>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</si>
  <si>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</si>
  <si>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</si>
  <si>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</si>
  <si>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</si>
  <si>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</si>
  <si>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</si>
  <si>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</si>
  <si>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</si>
  <si>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</si>
  <si>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</si>
  <si>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</si>
  <si>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</si>
  <si>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</si>
  <si>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</si>
  <si>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</si>
  <si>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</si>
  <si>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</si>
  <si>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</si>
  <si>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</si>
  <si>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</si>
  <si>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</si>
  <si>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</si>
  <si>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</si>
  <si>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</si>
  <si>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</si>
  <si>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</si>
  <si>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</si>
  <si>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</si>
  <si>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</si>
  <si>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</si>
  <si>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</si>
  <si>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</si>
  <si>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</si>
  <si>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</si>
  <si>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</si>
  <si>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</si>
  <si>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</si>
  <si>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</si>
  <si>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</si>
  <si>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</si>
  <si>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</si>
  <si>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</si>
  <si>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</si>
  <si>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</si>
  <si>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</si>
  <si>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</si>
  <si>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</si>
  <si>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</si>
  <si>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</si>
  <si>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</si>
  <si>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</si>
  <si>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</si>
  <si>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</si>
  <si>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</si>
  <si>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</si>
  <si>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</si>
  <si>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</si>
  <si>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</si>
  <si>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</si>
  <si>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</si>
  <si>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</si>
  <si>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</si>
  <si>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</si>
  <si>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</si>
  <si>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</si>
  <si>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</si>
  <si>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</si>
  <si>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</si>
  <si>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</si>
  <si>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</si>
  <si>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</si>
  <si>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</si>
  <si>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</si>
  <si>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</si>
  <si>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</si>
  <si>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</si>
  <si>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</si>
  <si>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</si>
  <si>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</si>
  <si>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</si>
  <si>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</si>
  <si>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</si>
  <si>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</si>
  <si>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</si>
  <si>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</si>
  <si>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</si>
  <si>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</si>
  <si>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</si>
  <si>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</si>
  <si>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</si>
  <si>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</si>
  <si>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</si>
  <si>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</si>
  <si>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</si>
  <si>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</si>
  <si>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</si>
  <si>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</si>
  <si>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</si>
  <si>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</si>
  <si>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</si>
  <si>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</si>
  <si>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</si>
  <si>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</si>
  <si>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</si>
  <si>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</si>
  <si>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</si>
  <si>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</si>
  <si>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</si>
  <si>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</si>
  <si>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</si>
  <si>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</si>
  <si>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</si>
  <si>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</si>
  <si>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</si>
  <si>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</si>
  <si>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</si>
  <si>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</si>
  <si>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</si>
  <si>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</si>
  <si>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</si>
  <si>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</si>
  <si>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</si>
  <si>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</si>
  <si>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</si>
  <si>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</si>
  <si>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</si>
  <si>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</si>
  <si>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</si>
  <si>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</si>
  <si>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</si>
  <si>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</si>
  <si>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</si>
  <si>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</si>
  <si>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</si>
  <si>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</si>
  <si>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</si>
  <si>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</si>
  <si>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</si>
  <si>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</si>
  <si>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</si>
  <si>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</si>
  <si>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</si>
  <si>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</si>
  <si>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</si>
  <si>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</si>
  <si>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</si>
  <si>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</si>
  <si>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</si>
  <si>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</si>
  <si>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</si>
  <si>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</si>
  <si>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</si>
  <si>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</si>
  <si>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</si>
  <si>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</si>
  <si>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</si>
  <si>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</si>
  <si>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</si>
  <si>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</si>
  <si>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</si>
  <si>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</si>
  <si>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</si>
  <si>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</si>
  <si>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</si>
  <si>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</si>
  <si>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</si>
  <si>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</si>
  <si>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</si>
  <si>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</si>
  <si>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</si>
  <si>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</si>
  <si>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</si>
  <si>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</si>
  <si>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</si>
  <si>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</si>
  <si>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</si>
  <si>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</si>
  <si>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</si>
  <si>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</si>
  <si>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</si>
  <si>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</si>
  <si>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</si>
  <si>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</si>
  <si>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</si>
  <si>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</si>
  <si>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</si>
  <si>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</si>
  <si>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</si>
  <si>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</si>
  <si>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</si>
  <si>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</si>
  <si>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</si>
  <si>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</si>
  <si>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</si>
  <si>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</si>
  <si>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</si>
  <si>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</si>
  <si>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</si>
  <si>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</si>
  <si>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</si>
  <si>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</si>
  <si>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</si>
  <si>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</si>
  <si>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</si>
  <si>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</si>
  <si>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</si>
  <si>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</si>
  <si>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</si>
  <si>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</si>
  <si>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</si>
  <si>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</si>
  <si>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</si>
  <si>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</si>
  <si>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</si>
  <si>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</si>
  <si>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</si>
  <si>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</si>
  <si>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</si>
  <si>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</si>
  <si>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</si>
  <si>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</si>
  <si>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</si>
  <si>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</si>
  <si>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</si>
  <si>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</si>
  <si>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</si>
  <si>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</si>
  <si>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</si>
  <si>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</si>
  <si>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</si>
  <si>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</si>
  <si>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</si>
  <si>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</si>
  <si>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</si>
  <si>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</si>
  <si>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</si>
  <si>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</si>
  <si>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</si>
  <si>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</si>
  <si>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</si>
  <si>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</si>
  <si>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</si>
  <si>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</si>
  <si>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</si>
  <si>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</si>
  <si>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</si>
  <si>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</si>
  <si>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</si>
  <si>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</si>
  <si>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</si>
  <si>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</si>
  <si>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</si>
  <si>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</si>
  <si>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</si>
  <si>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</si>
  <si>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</si>
  <si>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</si>
  <si>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</si>
  <si>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</si>
  <si>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</si>
  <si>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</si>
  <si>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</si>
  <si>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</si>
  <si>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</si>
  <si>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</si>
  <si>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</si>
  <si>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</si>
  <si>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</si>
  <si>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</si>
  <si>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</si>
  <si>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</si>
  <si>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</si>
  <si>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</si>
  <si>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</si>
  <si>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</si>
  <si>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</si>
  <si>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</si>
  <si>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</si>
  <si>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</si>
  <si>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</si>
  <si>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</si>
  <si>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</si>
  <si>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</si>
  <si>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</si>
  <si>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</si>
  <si>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</si>
  <si>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</si>
  <si>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</si>
  <si>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</si>
  <si>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</si>
  <si>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</si>
  <si>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</si>
  <si>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</si>
  <si>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</si>
  <si>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</si>
  <si>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</si>
  <si>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</si>
  <si>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</si>
  <si>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</si>
  <si>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</si>
  <si>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</si>
  <si>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</si>
  <si>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</si>
  <si>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</si>
  <si>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</si>
  <si>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</si>
  <si>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</si>
  <si>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</si>
  <si>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</si>
  <si>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</si>
  <si>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</si>
  <si>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</si>
  <si>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</si>
  <si>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</si>
  <si>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</si>
  <si>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</si>
  <si>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</si>
  <si>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</si>
  <si>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</si>
  <si>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</si>
  <si>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</si>
  <si>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</si>
  <si>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</si>
  <si>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</si>
  <si>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</si>
  <si>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</si>
  <si>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</si>
  <si>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</si>
  <si>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</si>
  <si>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</si>
  <si>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</si>
  <si>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</si>
  <si>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</si>
  <si>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</si>
  <si>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</si>
  <si>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</si>
  <si>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</si>
  <si>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</si>
  <si>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</si>
  <si>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</si>
  <si>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</si>
  <si>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</si>
  <si>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</si>
  <si>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</si>
  <si>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</si>
  <si>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</si>
  <si>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</si>
  <si>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</si>
  <si>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</si>
  <si>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</si>
  <si>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</si>
  <si>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</si>
  <si>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</si>
  <si>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</si>
  <si>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</si>
  <si>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</si>
  <si>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</si>
  <si>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</si>
  <si>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</si>
  <si>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</si>
  <si>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</si>
  <si>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</si>
  <si>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</si>
  <si>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</si>
  <si>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</si>
  <si>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</si>
  <si>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</si>
  <si>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</si>
  <si>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</si>
  <si>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</si>
  <si>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</si>
  <si>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</si>
  <si>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</si>
  <si>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</si>
  <si>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</si>
  <si>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</si>
  <si>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</si>
  <si>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</si>
  <si>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</si>
  <si>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</si>
  <si>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</si>
  <si>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</si>
  <si>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</si>
  <si>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</si>
  <si>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</si>
  <si>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</si>
  <si>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</si>
  <si>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</si>
  <si>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</si>
  <si>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</si>
  <si>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</si>
  <si>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</si>
  <si>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</si>
  <si>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</si>
  <si>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</si>
  <si>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</si>
  <si>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</si>
  <si>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</si>
  <si>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</si>
  <si>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</si>
  <si>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</si>
  <si>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</si>
  <si>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</si>
  <si>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</si>
  <si>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</si>
  <si>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</si>
  <si>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</si>
  <si>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</si>
  <si>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</si>
  <si>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</si>
  <si>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</si>
  <si>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</si>
  <si>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</si>
  <si>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</si>
  <si>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</si>
  <si>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</si>
  <si>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</si>
  <si>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</si>
  <si>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</si>
  <si>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</si>
  <si>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</si>
  <si>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</si>
  <si>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</si>
  <si>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</si>
  <si>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</si>
  <si>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</si>
  <si>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</si>
  <si>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</si>
  <si>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</si>
  <si>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</si>
  <si>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</si>
  <si>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</si>
  <si>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</si>
  <si>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</si>
  <si>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</si>
  <si>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</si>
  <si>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</si>
  <si>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</si>
  <si>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</si>
  <si>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</si>
  <si>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</si>
  <si>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</si>
  <si>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</si>
  <si>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</si>
  <si>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</si>
  <si>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</si>
  <si>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</si>
  <si>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</si>
  <si>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</si>
  <si>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</si>
  <si>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94811</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</si>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</sst>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161</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25</v>
      </c>
      <c r="E5" s="112">
        <f>'Pt 2 Premium and Claims'!E5+'Pt 2 Premium and Claims'!E6-'Pt 2 Premium and Claims'!E7-'Pt 2 Premium and Claims'!E13+'Pt 2 Premium and Claims'!E14+'Pt 2 Premium and Claims'!E15+'Pt 2 Premium and Claims'!E16+'Pt 2 Premium and Claims'!E17</f>
        <v>25</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51347658</v>
      </c>
      <c r="Q5" s="112">
        <f>'Pt 2 Premium and Claims'!Q5+'Pt 2 Premium and Claims'!Q6-'Pt 2 Premium and Claims'!Q7-'Pt 2 Premium and Claims'!Q13+'Pt 2 Premium and Claims'!Q14</f>
        <v>51350230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15736410</v>
      </c>
      <c r="AT5" s="113">
        <f>'Pt 2 Premium and Claims'!AT5+'Pt 2 Premium and Claims'!AT6-'Pt 2 Premium and Claims'!AT7-'Pt 2 Premium and Claims'!AT13+'Pt 2 Premium and Claims'!AT14</f>
        <v>13203624</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-59862</v>
      </c>
      <c r="Q7" s="116">
        <f>P7</f>
        <v>-59862</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-15437</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27434</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-761</v>
      </c>
      <c r="E12" s="112">
        <f>'Pt 2 Premium and Claims'!E54</f>
        <v>-599</v>
      </c>
      <c r="F12" s="112"/>
      <c r="G12" s="112"/>
      <c r="H12" s="112"/>
      <c r="I12" s="111">
        <f>'Pt 2 Premium and Claims'!I54</f>
        <v>0</v>
      </c>
      <c r="J12" s="111">
        <f>'Pt 2 Premium and Claims'!J54</f>
        <v>-9</v>
      </c>
      <c r="K12" s="112">
        <f>'Pt 2 Premium and Claims'!K54</f>
        <v>-9</v>
      </c>
      <c r="L12" s="112"/>
      <c r="M12" s="112"/>
      <c r="N12" s="112"/>
      <c r="O12" s="111">
        <f>'Pt 2 Premium and Claims'!O54</f>
        <v>0</v>
      </c>
      <c r="P12" s="111">
        <f>'Pt 2 Premium and Claims'!P54</f>
        <v>42305206</v>
      </c>
      <c r="Q12" s="112">
        <f>'Pt 2 Premium and Claims'!Q54</f>
        <v>41699140</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12842975</v>
      </c>
      <c r="AT12" s="113">
        <f>'Pt 2 Premium and Claims'!AT54</f>
        <v>7652470</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6431396</v>
      </c>
      <c r="Q13" s="116">
        <v>6500754</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16864646</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808999</v>
      </c>
      <c r="Q14" s="116">
        <v>74619</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4703158</v>
      </c>
      <c r="AT14" s="119">
        <v>101092</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79802</v>
      </c>
      <c r="Q15" s="116">
        <v>86467</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-965395</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-235</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274</v>
      </c>
      <c r="E25" s="116">
        <f>D25</f>
        <v>274</v>
      </c>
      <c r="F25" s="116"/>
      <c r="G25" s="116"/>
      <c r="H25" s="116"/>
      <c r="I25" s="115">
        <v>0</v>
      </c>
      <c r="J25" s="115">
        <v>3</v>
      </c>
      <c r="K25" s="116">
        <f>J25</f>
        <v>3</v>
      </c>
      <c r="L25" s="116"/>
      <c r="M25" s="116"/>
      <c r="N25" s="116"/>
      <c r="O25" s="115">
        <v>0</v>
      </c>
      <c r="P25" s="115">
        <v>2401523</v>
      </c>
      <c r="Q25" s="116">
        <f>P25</f>
        <v>2401523</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518443</v>
      </c>
      <c r="AT25" s="119">
        <v>1482848</v>
      </c>
      <c r="AU25" s="119">
        <v>0</v>
      </c>
      <c r="AV25" s="119">
        <v>2746352</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23226</v>
      </c>
      <c r="Q26" s="116">
        <f>P26</f>
        <v>23226</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665645</v>
      </c>
      <c r="Q27" s="116">
        <f>P27</f>
        <v>665645</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259727</v>
      </c>
      <c r="AT27" s="119">
        <v>100978</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117757</v>
      </c>
      <c r="Q28" s="116">
        <f>P28</f>
        <v>117757</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13835</v>
      </c>
      <c r="AT28" s="119">
        <v>15799</v>
      </c>
      <c r="AU28" s="119">
        <v>0</v>
      </c>
      <c r="AV28" s="119">
        <v>96521</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158634</v>
      </c>
      <c r="Q30" s="116">
        <f>P30</f>
        <v>158634</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40465</v>
      </c>
      <c r="AU30" s="119">
        <v>0</v>
      </c>
      <c r="AV30" s="119">
        <v>3003</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894576</v>
      </c>
      <c r="Q31" s="116">
        <f>P31</f>
        <v>894576</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230693</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684000</v>
      </c>
      <c r="Q34" s="116">
        <f>P34</f>
        <v>684000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1011</v>
      </c>
      <c r="Q35" s="116">
        <f>P35</f>
        <v>1011</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126</v>
      </c>
      <c r="AU35" s="119">
        <v>0</v>
      </c>
      <c r="AV35" s="119">
        <v>8814</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29685</v>
      </c>
      <c r="Q37" s="124">
        <v>29759</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347191</v>
      </c>
      <c r="AT37" s="125">
        <v>788</v>
      </c>
      <c r="AU37" s="125">
        <v>0</v>
      </c>
      <c r="AV37" s="125">
        <v>117738</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7763</v>
      </c>
      <c r="Q38" s="116">
        <v>7803</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67</v>
      </c>
      <c r="AU38" s="119">
        <v>0</v>
      </c>
      <c r="AV38" s="119">
        <v>9554</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67079</v>
      </c>
      <c r="Q39" s="116">
        <v>71579</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177</v>
      </c>
      <c r="AU39" s="119">
        <v>0</v>
      </c>
      <c r="AV39" s="119">
        <v>3333</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11577</v>
      </c>
      <c r="Q40" s="116">
        <v>11593</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-166</v>
      </c>
      <c r="AU40" s="119">
        <v>0</v>
      </c>
      <c r="AV40" s="119">
        <v>20031</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23120</v>
      </c>
      <c r="Q41" s="116">
        <v>23141</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1</v>
      </c>
      <c r="AT41" s="119">
        <v>1585</v>
      </c>
      <c r="AU41" s="119">
        <v>0</v>
      </c>
      <c r="AV41" s="119">
        <v>46831</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5231</v>
      </c>
      <c r="Q42" s="116">
        <f>P42</f>
        <v>5231</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103</v>
      </c>
      <c r="AU42" s="119">
        <v>0</v>
      </c>
      <c r="AV42" s="119">
        <v>8123</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1377182</v>
      </c>
      <c r="Q44" s="124">
        <v>1427612</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11248</v>
      </c>
      <c r="AU44" s="125">
        <v>0</v>
      </c>
      <c r="AV44" s="125">
        <v>479167</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15930</v>
      </c>
      <c r="Q45" s="116">
        <f>P45</f>
        <v>15930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701</v>
      </c>
      <c r="AT45" s="119">
        <v>2163</v>
      </c>
      <c r="AU45" s="119">
        <v>0</v>
      </c>
      <c r="AV45" s="119">
        <v>725</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164611</v>
      </c>
      <c r="Q46" s="116">
        <f>P46</f>
        <v>164611</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33932</v>
      </c>
      <c r="AU46" s="119">
        <v>0</v>
      </c>
      <c r="AV46" s="119">
        <v>163782</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1088159</v>
      </c>
      <c r="Q47" s="116">
        <f>P47</f>
        <v>1088159</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14488</v>
      </c>
      <c r="AT47" s="119">
        <v>281182</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-53</v>
      </c>
      <c r="Q49" s="116">
        <f>P49</f>
        <v>-53</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66</v>
      </c>
      <c r="AU49" s="119">
        <v>0</v>
      </c>
      <c r="AV49" s="119">
        <v>3230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3519</v>
      </c>
      <c r="Q50" s="116">
        <f>P50</f>
        <v>3519</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2817</v>
      </c>
      <c r="AT50" s="119">
        <v>314</v>
      </c>
      <c r="AU50" s="119">
        <v>0</v>
      </c>
      <c r="AV50" s="119">
        <v>11216</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831359</v>
      </c>
      <c r="Q51" s="116">
        <f>P51</f>
        <v>831359</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1141713</v>
      </c>
      <c r="AT51" s="119">
        <v>620186</v>
      </c>
      <c r="AU51" s="119">
        <v>0</v>
      </c>
      <c r="AV51" s="119">
        <v>2873364</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5828</v>
      </c>
      <c r="Q53" s="116">
        <f>P53</f>
        <v>5828</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981</v>
      </c>
      <c r="AT53" s="119">
        <v>1843</v>
      </c>
      <c r="AU53" s="119">
        <v>0</v>
      </c>
      <c r="AV53" s="119">
        <v>10162</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11714498</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4028</v>
      </c>
      <c r="Q56" s="128">
        <f>P56</f>
        <v>4028</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14260</v>
      </c>
      <c r="AT56" s="129">
        <v>13741</v>
      </c>
      <c r="AU56" s="129">
        <v>0</v>
      </c>
      <c r="AV56" s="129">
        <v>15669</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8342</v>
      </c>
      <c r="Q57" s="131">
        <f>P57</f>
        <v>8342</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14284</v>
      </c>
      <c r="AT57" s="132">
        <v>25169</v>
      </c>
      <c r="AU57" s="132">
        <v>0</v>
      </c>
      <c r="AV57" s="132">
        <v>29360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13</v>
      </c>
      <c r="Q58" s="131">
        <f>P58</f>
        <v>13</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2</v>
      </c>
      <c r="AT58" s="132">
        <v>16</v>
      </c>
      <c r="AU58" s="132">
        <v>0</v>
      </c>
      <c r="AV58" s="132">
        <v>27</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106034</v>
      </c>
      <c r="Q59" s="131">
        <v>106034</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174157</v>
      </c>
      <c r="AT59" s="132">
        <v>309044</v>
      </c>
      <c r="AU59" s="132">
        <v>0</v>
      </c>
      <c r="AV59" s="132">
        <v>362076</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8836.1666666666661</v>
      </c>
      <c r="Q60" s="134">
        <f>Q59/12</f>
        <v>8836.1666666666661</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14513.083333333334</v>
      </c>
      <c r="AT60" s="135">
        <f>AT59/12</f>
        <v>25753.666666666668</v>
      </c>
      <c r="AU60" s="135">
        <f>AU59/12</f>
        <v>0</v>
      </c>
      <c r="AV60" s="135">
        <f>AV59/12</f>
        <v>30173</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899920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305164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3253</v>
      </c>
      <c r="E5" s="124">
        <v>25</v>
      </c>
      <c r="F5" s="124"/>
      <c r="G5" s="136"/>
      <c r="H5" s="136"/>
      <c r="I5" s="123">
        <v>0</v>
      </c>
      <c r="J5" s="123">
        <v>0</v>
      </c>
      <c r="K5" s="124">
        <v>0</v>
      </c>
      <c r="L5" s="124"/>
      <c r="M5" s="124"/>
      <c r="N5" s="124"/>
      <c r="O5" s="123">
        <v>0</v>
      </c>
      <c r="P5" s="123">
        <v>51841075</v>
      </c>
      <c r="Q5" s="124">
        <v>51447595</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15744273</v>
      </c>
      <c r="AT5" s="125">
        <v>13221623</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19359</v>
      </c>
      <c r="Q6" s="116">
        <v>19359</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55338</v>
      </c>
      <c r="AT6" s="119">
        <v>21674</v>
      </c>
      <c r="AU6" s="119">
        <v>0</v>
      </c>
      <c r="AV6" s="317"/>
      <c r="AW6" s="324"/>
    </row>
    <row r="7" spans="2:49" x14ac:dyDescent="0.2">
      <c r="B7" s="182" t="s">
        <v>280</v>
      </c>
      <c r="C7" s="139" t="s">
        <v>9</v>
      </c>
      <c r="D7" s="115">
        <v>3228</v>
      </c>
      <c r="E7" s="116"/>
      <c r="F7" s="116"/>
      <c r="G7" s="117"/>
      <c r="H7" s="117"/>
      <c r="I7" s="115"/>
      <c r="J7" s="115">
        <v>0</v>
      </c>
      <c r="K7" s="116"/>
      <c r="L7" s="116"/>
      <c r="M7" s="116"/>
      <c r="N7" s="116"/>
      <c r="O7" s="115"/>
      <c r="P7" s="115">
        <v>379158</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59361</v>
      </c>
      <c r="AT7" s="119">
        <v>10827</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1870255</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1870255</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-278</v>
      </c>
      <c r="F11" s="116"/>
      <c r="G11" s="116"/>
      <c r="H11" s="116"/>
      <c r="I11" s="115">
        <f>0</f>
        <v>0</v>
      </c>
      <c r="J11" s="115">
        <f>J41</f>
        <v>0</v>
      </c>
      <c r="K11" s="116">
        <f>K42</f>
        <v>0</v>
      </c>
      <c r="L11" s="116"/>
      <c r="M11" s="116"/>
      <c r="N11" s="116"/>
      <c r="O11" s="115">
        <f>0</f>
        <v>0</v>
      </c>
      <c r="P11" s="115">
        <f>P41</f>
        <v>1536032</v>
      </c>
      <c r="Q11" s="116">
        <f>Q42</f>
        <v>-1597528</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278</v>
      </c>
      <c r="E12" s="295"/>
      <c r="F12" s="295"/>
      <c r="G12" s="295"/>
      <c r="H12" s="295"/>
      <c r="I12" s="299"/>
      <c r="J12" s="115">
        <f>J43</f>
        <v>0</v>
      </c>
      <c r="K12" s="295"/>
      <c r="L12" s="295"/>
      <c r="M12" s="295"/>
      <c r="N12" s="295"/>
      <c r="O12" s="299"/>
      <c r="P12" s="115">
        <f>P43</f>
        <v>3133560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133618</v>
      </c>
      <c r="Q13" s="116">
        <v>116724</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3840</v>
      </c>
      <c r="AT13" s="119">
        <v>28846</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v>
      </c>
      <c r="E23" s="294"/>
      <c r="F23" s="294"/>
      <c r="G23" s="294"/>
      <c r="H23" s="294"/>
      <c r="I23" s="298"/>
      <c r="J23" s="115">
        <v>-9</v>
      </c>
      <c r="K23" s="294"/>
      <c r="L23" s="294"/>
      <c r="M23" s="294"/>
      <c r="N23" s="294"/>
      <c r="O23" s="298"/>
      <c r="P23" s="115">
        <v>38987959</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14910311</v>
      </c>
      <c r="AT23" s="119">
        <v>7739402</v>
      </c>
      <c r="AU23" s="119">
        <v>0</v>
      </c>
      <c r="AV23" s="317"/>
      <c r="AW23" s="324"/>
    </row>
    <row r="24" spans="2:49" ht="28.5" customHeight="1" x14ac:dyDescent="0.2">
      <c r="B24" s="184" t="s">
        <v>114</v>
      </c>
      <c r="C24" s="139"/>
      <c r="D24" s="299"/>
      <c r="E24" s="116">
        <v>-4</v>
      </c>
      <c r="F24" s="116"/>
      <c r="G24" s="116"/>
      <c r="H24" s="116"/>
      <c r="I24" s="115">
        <v>0</v>
      </c>
      <c r="J24" s="299"/>
      <c r="K24" s="116">
        <v>-9</v>
      </c>
      <c r="L24" s="116"/>
      <c r="M24" s="116"/>
      <c r="N24" s="116"/>
      <c r="O24" s="115">
        <v>0</v>
      </c>
      <c r="P24" s="299"/>
      <c r="Q24" s="116">
        <v>40646366</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9</v>
      </c>
      <c r="E26" s="294"/>
      <c r="F26" s="294"/>
      <c r="G26" s="294"/>
      <c r="H26" s="294"/>
      <c r="I26" s="298"/>
      <c r="J26" s="115">
        <v>0</v>
      </c>
      <c r="K26" s="294"/>
      <c r="L26" s="294"/>
      <c r="M26" s="294"/>
      <c r="N26" s="294"/>
      <c r="O26" s="298"/>
      <c r="P26" s="115">
        <v>5464633</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686801</v>
      </c>
      <c r="AT26" s="119">
        <v>1081538</v>
      </c>
      <c r="AU26" s="119">
        <v>0</v>
      </c>
      <c r="AV26" s="317"/>
      <c r="AW26" s="324"/>
    </row>
    <row r="27" spans="2:49" s="11" customFormat="1" ht="25.5" x14ac:dyDescent="0.2">
      <c r="B27" s="184" t="s">
        <v>85</v>
      </c>
      <c r="C27" s="139"/>
      <c r="D27" s="299"/>
      <c r="E27" s="116">
        <v>-314</v>
      </c>
      <c r="F27" s="116"/>
      <c r="G27" s="116"/>
      <c r="H27" s="116"/>
      <c r="I27" s="115">
        <v>0</v>
      </c>
      <c r="J27" s="299"/>
      <c r="K27" s="116">
        <v>0</v>
      </c>
      <c r="L27" s="116"/>
      <c r="M27" s="116"/>
      <c r="N27" s="116"/>
      <c r="O27" s="115">
        <v>0</v>
      </c>
      <c r="P27" s="299"/>
      <c r="Q27" s="116">
        <v>1055400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489</v>
      </c>
      <c r="E28" s="295"/>
      <c r="F28" s="295"/>
      <c r="G28" s="295"/>
      <c r="H28" s="295"/>
      <c r="I28" s="299"/>
      <c r="J28" s="115">
        <v>0</v>
      </c>
      <c r="K28" s="295"/>
      <c r="L28" s="295"/>
      <c r="M28" s="295"/>
      <c r="N28" s="295"/>
      <c r="O28" s="299"/>
      <c r="P28" s="115">
        <v>1908585</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1168470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34301</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34301</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3</v>
      </c>
      <c r="E36" s="116">
        <f>D36</f>
        <v>3</v>
      </c>
      <c r="F36" s="116"/>
      <c r="G36" s="116"/>
      <c r="H36" s="116"/>
      <c r="I36" s="115">
        <v>0</v>
      </c>
      <c r="J36" s="115">
        <v>0</v>
      </c>
      <c r="K36" s="116">
        <f>J36</f>
        <v>0</v>
      </c>
      <c r="L36" s="116"/>
      <c r="M36" s="116"/>
      <c r="N36" s="116"/>
      <c r="O36" s="115">
        <v>0</v>
      </c>
      <c r="P36" s="115">
        <v>10258</v>
      </c>
      <c r="Q36" s="116">
        <f>P36</f>
        <v>10258</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1870255</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1870255</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1536032</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-278</v>
      </c>
      <c r="F42" s="116"/>
      <c r="G42" s="116"/>
      <c r="H42" s="116"/>
      <c r="I42" s="115">
        <v>0</v>
      </c>
      <c r="J42" s="299"/>
      <c r="K42" s="116">
        <v>0</v>
      </c>
      <c r="L42" s="116"/>
      <c r="M42" s="116"/>
      <c r="N42" s="116"/>
      <c r="O42" s="115">
        <v>0</v>
      </c>
      <c r="P42" s="299"/>
      <c r="Q42" s="116">
        <v>-1597528</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278</v>
      </c>
      <c r="E43" s="295"/>
      <c r="F43" s="295"/>
      <c r="G43" s="295"/>
      <c r="H43" s="295"/>
      <c r="I43" s="299"/>
      <c r="J43" s="115">
        <v>0</v>
      </c>
      <c r="K43" s="295"/>
      <c r="L43" s="295"/>
      <c r="M43" s="295"/>
      <c r="N43" s="295"/>
      <c r="O43" s="299"/>
      <c r="P43" s="115">
        <v>3133560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65835</v>
      </c>
      <c r="Q45" s="116">
        <v>65893</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701235</v>
      </c>
      <c r="Q49" s="116">
        <v>365289</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2754137</v>
      </c>
      <c r="AT49" s="119">
        <v>0</v>
      </c>
      <c r="AU49" s="119">
        <v>0</v>
      </c>
      <c r="AV49" s="317"/>
      <c r="AW49" s="324"/>
    </row>
    <row r="50" spans="2:49" x14ac:dyDescent="0.2">
      <c r="B50" s="182" t="s">
        <v>119</v>
      </c>
      <c r="C50" s="139" t="s">
        <v>34</v>
      </c>
      <c r="D50" s="115">
        <v>4</v>
      </c>
      <c r="E50" s="295"/>
      <c r="F50" s="295"/>
      <c r="G50" s="295"/>
      <c r="H50" s="295"/>
      <c r="I50" s="299"/>
      <c r="J50" s="115">
        <v>0</v>
      </c>
      <c r="K50" s="295"/>
      <c r="L50" s="295"/>
      <c r="M50" s="295"/>
      <c r="N50" s="295"/>
      <c r="O50" s="299"/>
      <c r="P50" s="115">
        <v>99829</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-761</v>
      </c>
      <c r="E54" s="121">
        <f>E24+E27+E31+E35-E36+E39+E42+E45+E46-E49+E51+E52+E53</f>
        <v>-599</v>
      </c>
      <c r="F54" s="121"/>
      <c r="G54" s="121"/>
      <c r="H54" s="121"/>
      <c r="I54" s="120">
        <f>I24+I27+I31+I35-I36+I39+I42+I45+I46-I49+I51+I52+I53</f>
        <v>0</v>
      </c>
      <c r="J54" s="120">
        <f>J23+J26-J28+J30-J32+J34-J36+J38+J41-J43+J45+J46-J47-J49+J50+J51+J52+J53</f>
        <v>-9</v>
      </c>
      <c r="K54" s="121">
        <f>K24+K27+K31+K35-K36+K39+K42+K45+K46-K49+K51+K52+K53</f>
        <v>-9</v>
      </c>
      <c r="L54" s="121"/>
      <c r="M54" s="121"/>
      <c r="N54" s="121"/>
      <c r="O54" s="120">
        <f>O24+O27+O31+O35-O36+O39+O42+O45+O46-O49+O51+O52+O53</f>
        <v>0</v>
      </c>
      <c r="P54" s="120">
        <f>P23+P26-P28+P30-P32+P34-P36+P38+P41-P43+P45+P46-P47-P49+P50+P51+P52+P53</f>
        <v>42305206</v>
      </c>
      <c r="Q54" s="121">
        <f>Q24+Q27+Q31+Q35-Q36+Q39+Q42+Q45+Q46-Q49+Q51+Q52+Q53</f>
        <v>41699140</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12842975</v>
      </c>
      <c r="AT54" s="122">
        <f>AT23+AT26-AT28+AT30-AT32+AT34-AT36+AT38+AT41-AT43+AT45+AT46-AT47-AT49+AT50+AT51+AT52+AT53</f>
        <v>7652470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2107.02</v>
      </c>
      <c r="D5" s="124">
        <v>-1916</v>
      </c>
      <c r="E5" s="352"/>
      <c r="F5" s="352"/>
      <c r="G5" s="318"/>
      <c r="H5" s="123">
        <v>0</v>
      </c>
      <c r="I5" s="124">
        <v>0</v>
      </c>
      <c r="J5" s="352"/>
      <c r="K5" s="352"/>
      <c r="L5" s="318"/>
      <c r="M5" s="123">
        <v>52471.85</v>
      </c>
      <c r="N5" s="124">
        <v>11953679</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2079</v>
      </c>
      <c r="D6" s="116">
        <v>-1962</v>
      </c>
      <c r="E6" s="121">
        <f>SUM('Pt 1 Summary of Data'!E$12,'Pt 1 Summary of Data'!E$22)+SUM('Pt 1 Summary of Data'!G$12,'Pt 1 Summary of Data'!G$22)-SUM('Pt 1 Summary of Data'!H$12,'Pt 1 Summary of Data'!H$22)</f>
        <v>-599</v>
      </c>
      <c r="F6" s="121">
        <f>SUM(C6:E6)</f>
        <v>-482</v>
      </c>
      <c r="G6" s="122">
        <f>'Pt 1 Summary of Data'!I12+'Pt 1 Summary of Data'!I22</f>
        <v>0</v>
      </c>
      <c r="H6" s="115">
        <v>0</v>
      </c>
      <c r="I6" s="116">
        <v>0</v>
      </c>
      <c r="J6" s="121">
        <f>'Pt 1 Summary of Data'!K12+'Pt 1 Summary of Data'!K22</f>
        <v>-9</v>
      </c>
      <c r="K6" s="121">
        <f>SUM(H6:J6)</f>
        <v>-9</v>
      </c>
      <c r="L6" s="122">
        <f>'Pt 1 Summary of Data'!O12+'Pt 1 Summary of Data'!O22</f>
        <v>0</v>
      </c>
      <c r="M6" s="115">
        <v>57327</v>
      </c>
      <c r="N6" s="116">
        <v>12159411</v>
      </c>
      <c r="O6" s="121">
        <f>'Pt 1 Summary of Data'!Q12+'Pt 1 Summary of Data'!Q22</f>
        <v>41699140</v>
      </c>
      <c r="P6" s="121">
        <f>SUM(M6:O6)</f>
        <v>53915878</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10</v>
      </c>
      <c r="D7" s="116">
        <v>3</v>
      </c>
      <c r="E7" s="121">
        <f>SUM('Pt 1 Summary of Data'!E37:E41)+MAX(0,MIN('Pt 1 Summary of Data'!E42,0.3%*('Pt 1 Summary of Data'!E5-SUM(E9:E11))))</f>
        <v>0</v>
      </c>
      <c r="F7" s="121">
        <f>SUM(C7:E7)</f>
        <v>13</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1981</v>
      </c>
      <c r="N7" s="116">
        <v>60213</v>
      </c>
      <c r="O7" s="121">
        <f>SUM('Pt 1 Summary of Data'!Q37:Q41)+MAX(0,MIN('Pt 1 Summary of Data'!Q42,0.3%*('Pt 1 Summary of Data'!Q5)))</f>
        <v>149106</v>
      </c>
      <c r="P7" s="121">
        <f>SUM(M7:O7)</f>
        <v>211300</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2089</v>
      </c>
      <c r="D12" s="121">
        <f>SUM(D$6:D$7)+IF(AND(OR('Company Information'!$C$12="District of Columbia",'Company Information'!$C$12="Massachusetts",'Company Information'!$C$12="Vermont"),SUM($C$6:$F$11,$C$15:$F$16,$C$37:$D$37)&lt;&gt;0),SUM(I$6:I$7),0)</f>
        <v>-1959</v>
      </c>
      <c r="E12" s="121">
        <f>SUM(E$6:E$7)-SUM(E$8:E$11)+IF(AND(OR('Company Information'!$C$12="District of Columbia",'Company Information'!$C$12="Massachusetts",'Company Information'!$C$12="Vermont"),SUM($C$6:$F$11,$C$15:$F$16,$C$37:$D$37)&lt;&gt;0),SUM(J$6:J$7)-SUM(J$10:J$11),0)</f>
        <v>-599</v>
      </c>
      <c r="F12" s="121">
        <f>IFERROR(SUM(C$12:E$12)+C$17*MAX(0,E$49-C$49)+D$17*MAX(0,E$49-D$49),0)</f>
        <v>-95.499999999999943</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-9</v>
      </c>
      <c r="K12" s="121">
        <f>IFERROR(SUM(H$12:J$12)+H$17*MAX(0,J$49-H$49)+I$17*MAX(0,J$49-I$49),0)</f>
        <v>-9</v>
      </c>
      <c r="L12" s="317"/>
      <c r="M12" s="120">
        <f>SUM(M$6:M$7)</f>
        <v>59308</v>
      </c>
      <c r="N12" s="121">
        <f>SUM(N$6:N$7)</f>
        <v>12219624</v>
      </c>
      <c r="O12" s="121">
        <f>SUM(O$6:O$7)</f>
        <v>41848246</v>
      </c>
      <c r="P12" s="121">
        <f>SUM(M$12:O$12)+M$17*MAX(0,O$49-M$49)+N$17*MAX(0,O$49-N$49)</f>
        <v>54127178</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2098</v>
      </c>
      <c r="D15" s="124">
        <v>802</v>
      </c>
      <c r="E15" s="112">
        <f>SUM('Pt 1 Summary of Data'!E$5:E$7)+SUM('Pt 1 Summary of Data'!G$5:G$7)-SUM('Pt 1 Summary of Data'!H$5:H$7)-SUM(E$9:E$11)+D$55</f>
        <v>25</v>
      </c>
      <c r="F15" s="112">
        <f>SUM(C15:E15)</f>
        <v>2925</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185191</v>
      </c>
      <c r="N15" s="124">
        <v>15046622</v>
      </c>
      <c r="O15" s="112">
        <f>SUM('Pt 1 Summary of Data'!Q5:Q7)+N55</f>
        <v>51322349</v>
      </c>
      <c r="P15" s="112">
        <f>SUM(M15:O15)</f>
        <v>66554162</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-392</v>
      </c>
      <c r="D16" s="116">
        <v>1022</v>
      </c>
      <c r="E16" s="121">
        <f>'Pt 1 Summary of Data'!E25+'Pt 1 Summary of Data'!E26+'Pt 1 Summary of Data'!E27+'Pt 1 Summary of Data'!E28+'Pt 1 Summary of Data'!E30+'Pt 1 Summary of Data'!E31+'Pt 1 Summary of Data'!E34+'Pt 1 Summary of Data'!E35+'Pt 3 MLR and Rebate Calculation'!D56</f>
        <v>274</v>
      </c>
      <c r="F16" s="121">
        <f>SUM(C16:E16)</f>
        <v>904</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3</v>
      </c>
      <c r="K16" s="121">
        <f>SUM(H16:J16)</f>
        <v>3</v>
      </c>
      <c r="L16" s="122">
        <f>'Pt 1 Summary of Data'!O25+'Pt 1 Summary of Data'!O26+'Pt 1 Summary of Data'!O27+'Pt 1 Summary of Data'!O28+'Pt 1 Summary of Data'!O30+'Pt 1 Summary of Data'!O31+'Pt 1 Summary of Data'!O34+'Pt 1 Summary of Data'!O35</f>
        <v>0</v>
      </c>
      <c r="M16" s="115">
        <v>36129</v>
      </c>
      <c r="N16" s="116">
        <v>682292</v>
      </c>
      <c r="O16" s="121">
        <f>'Pt 1 Summary of Data'!Q25+'Pt 1 Summary of Data'!Q26+'Pt 1 Summary of Data'!Q27+'Pt 1 Summary of Data'!Q28+'Pt 1 Summary of Data'!Q30+'Pt 1 Summary of Data'!Q31+'Pt 1 Summary of Data'!Q34+'Pt 1 Summary of Data'!Q35+'Pt 3 MLR and Rebate Calculation'!N56</f>
        <v>4957937</v>
      </c>
      <c r="P16" s="121">
        <f>SUM(M16:O16)</f>
        <v>5676358</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2490</v>
      </c>
      <c r="D17" s="121">
        <f>D$15-D$16+IF(AND(OR('Company Information'!$C$12="District of Columbia",'Company Information'!$C$12="Massachusetts",'Company Information'!$C$12="Vermont"),SUM($C$6:$F$11,$C$15:$F$16,$C$37:$D$37)&lt;&gt;0),I$15-I$16,0)</f>
        <v>-220</v>
      </c>
      <c r="E17" s="121">
        <f>E$15-E$16+IF(AND(OR('Company Information'!$C$12="District of Columbia",'Company Information'!$C$12="Massachusetts",'Company Information'!$C$12="Vermont"),SUM($C$6:$F$11,$C$15:$F$16,$C$37:$D$37)&lt;&gt;0),J$15-J$16,0)</f>
        <v>-249</v>
      </c>
      <c r="F17" s="121">
        <f>F$15-F$16+IF(AND(OR('Company Information'!$C$12="District of Columbia",'Company Information'!$C$12="Massachusetts",'Company Information'!$C$12="Vermont"),SUM($C$6:$F$11,$C$15:$F$16,$C$37:$D$37)&lt;&gt;0),K$15-K$16,0)</f>
        <v>2021</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-3</v>
      </c>
      <c r="K17" s="121">
        <f>K$15-K$16+IF(AND(OR('Company Information'!$C$12="District of Columbia",'Company Information'!$C$12="Massachusetts",'Company Information'!$C$12="Vermont"),SUM($H$6:$K$11,$H$15:$K$16,$H$37:$I$37)&lt;&gt;0),F$15-F$16,0)</f>
        <v>-3</v>
      </c>
      <c r="L17" s="320"/>
      <c r="M17" s="120">
        <f>M$15-M$16</f>
        <v>149062</v>
      </c>
      <c r="N17" s="121">
        <f>N$15-N$16</f>
        <v>14364330</v>
      </c>
      <c r="O17" s="121">
        <f>O$15-O$16</f>
        <v>46364412</v>
      </c>
      <c r="P17" s="121">
        <f>P$15-P$16</f>
        <v>60877804</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0</v>
      </c>
      <c r="E37" s="262">
        <f>'Pt 1 Summary of Data'!E60</f>
        <v>0</v>
      </c>
      <c r="F37" s="262">
        <f>SUM(C37:E37)</f>
        <v>1</v>
      </c>
      <c r="G37" s="318"/>
      <c r="H37" s="127">
        <v>0</v>
      </c>
      <c r="I37" s="128">
        <v>0</v>
      </c>
      <c r="J37" s="262">
        <f>'Pt 1 Summary of Data'!K60</f>
        <v>0</v>
      </c>
      <c r="K37" s="262">
        <f>SUM(H37:J37)</f>
        <v>0</v>
      </c>
      <c r="L37" s="318"/>
      <c r="M37" s="127">
        <v>49</v>
      </c>
      <c r="N37" s="128">
        <v>2472</v>
      </c>
      <c r="O37" s="262">
        <f>'Pt 1 Summary of Data'!Q60</f>
        <v>8836.1666666666661</v>
      </c>
      <c r="P37" s="262">
        <f>SUM(M37:O37)</f>
        <v>11357.166666666666</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2.509522222222222E-2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2.509522222222222E-2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f>IF(OR(N$37&lt;1000,N$17&lt;=0),"",N$12/N$17)</f>
        <v>0.85069223555849804</v>
      </c>
      <c r="O44" s="266">
        <f>IF(OR(O$37&lt;1000,O$17&lt;=0),"",O$12/O$17)</f>
        <v>0.90259412758216362</v>
      </c>
      <c r="P44" s="266">
        <f>IF(OR(P$37&lt;1000,P$17&lt;=0),"",P$12/P$17)</f>
        <v>0.88911186743858239</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2.509522222222222E-2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0.91400000000000003</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0.65</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0.91400000000000003</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46364412</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31981</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11565</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4028</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2015-07-29T18:11:53Z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