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F6" i="10" l="1"/>
  <c r="I12" i="10"/>
  <c r="K6" i="10"/>
  <c r="J12" i="10"/>
  <c r="P6" i="10"/>
  <c r="X6" i="10"/>
  <c r="W38" i="10" s="1"/>
  <c r="G15" i="10"/>
  <c r="K15" i="10"/>
  <c r="H17" i="10" s="1"/>
  <c r="P15" i="10"/>
  <c r="P17" i="10" s="1"/>
  <c r="O17" i="10"/>
  <c r="X15" i="10"/>
  <c r="L15" i="10"/>
  <c r="T6" i="10"/>
  <c r="AB13" i="10"/>
  <c r="AA13" i="10"/>
  <c r="AB38" i="10"/>
  <c r="E15" i="10"/>
  <c r="J7" i="10"/>
  <c r="K7" i="10" s="1"/>
  <c r="O7" i="10"/>
  <c r="P7" i="10" s="1"/>
  <c r="S15" i="10"/>
  <c r="W7" i="10"/>
  <c r="X7" i="10" s="1"/>
  <c r="AA15" i="10"/>
  <c r="P38" i="10"/>
  <c r="G7" i="10"/>
  <c r="G20" i="10" s="1"/>
  <c r="H45" i="10" l="1"/>
  <c r="X38" i="10"/>
  <c r="S38" i="10"/>
  <c r="L32" i="10"/>
  <c r="L27" i="10"/>
  <c r="L23" i="10"/>
  <c r="L24" i="10"/>
  <c r="U13" i="10"/>
  <c r="U17" i="10"/>
  <c r="P52" i="10"/>
  <c r="T15" i="10"/>
  <c r="AB42" i="10"/>
  <c r="AB53" i="10"/>
  <c r="H11" i="16" s="1"/>
  <c r="AB52" i="10"/>
  <c r="AB46" i="10"/>
  <c r="R17" i="10"/>
  <c r="R46" i="10" s="1"/>
  <c r="W17" i="10"/>
  <c r="W46" i="10" s="1"/>
  <c r="J17" i="10"/>
  <c r="G19" i="10"/>
  <c r="V17" i="10"/>
  <c r="V46" i="10" s="1"/>
  <c r="H12" i="10"/>
  <c r="F15" i="10"/>
  <c r="F17" i="10" s="1"/>
  <c r="X17" i="10"/>
  <c r="W13" i="10"/>
  <c r="O12" i="10"/>
  <c r="J38" i="10"/>
  <c r="L20" i="10"/>
  <c r="AA17" i="10"/>
  <c r="AA46" i="10" s="1"/>
  <c r="AB39" i="10" s="1"/>
  <c r="AB15" i="10"/>
  <c r="AB17" i="10" s="1"/>
  <c r="S13" i="10"/>
  <c r="L19" i="10"/>
  <c r="L22" i="10" s="1"/>
  <c r="G27" i="10"/>
  <c r="G23" i="10"/>
  <c r="G22" i="10"/>
  <c r="G32" i="10"/>
  <c r="G24" i="10"/>
  <c r="V13" i="10"/>
  <c r="I17" i="10"/>
  <c r="I45" i="10" s="1"/>
  <c r="L21" i="10" l="1"/>
  <c r="L30" i="10"/>
  <c r="T38" i="10"/>
  <c r="K12" i="10"/>
  <c r="G21" i="10"/>
  <c r="G26" i="10" s="1"/>
  <c r="G25" i="10" s="1"/>
  <c r="G28" i="10" s="1"/>
  <c r="G30" i="10"/>
  <c r="G31" i="10" s="1"/>
  <c r="G29" i="10" s="1"/>
  <c r="G33" i="10" s="1"/>
  <c r="G34" i="10" s="1"/>
  <c r="L31" i="10"/>
  <c r="L29" i="10" s="1"/>
  <c r="L33" i="10" s="1"/>
  <c r="L34" i="10" s="1"/>
  <c r="L26" i="10"/>
  <c r="L25" i="10" s="1"/>
  <c r="L28" i="10" s="1"/>
  <c r="E17" i="10"/>
  <c r="AB48" i="10"/>
  <c r="AB51" i="10" s="1"/>
  <c r="AB47" i="10"/>
  <c r="C17" i="10"/>
  <c r="D12" i="10"/>
  <c r="P12" i="10"/>
  <c r="P45" i="10" s="1"/>
  <c r="O45" i="10"/>
  <c r="P39" i="10" s="1"/>
  <c r="P42" i="10" s="1"/>
  <c r="E38" i="10"/>
  <c r="K17" i="10"/>
  <c r="D17" i="10"/>
  <c r="D45" i="10" s="1"/>
  <c r="T17" i="10"/>
  <c r="Q13" i="10"/>
  <c r="Q17" i="10"/>
  <c r="R13" i="10"/>
  <c r="C12" i="10"/>
  <c r="X53" i="10"/>
  <c r="G11" i="16" s="1"/>
  <c r="X39" i="10"/>
  <c r="X52" i="10"/>
  <c r="X46" i="10"/>
  <c r="X42" i="10"/>
  <c r="E12" i="10"/>
  <c r="J45" i="10"/>
  <c r="K38" i="10"/>
  <c r="S17" i="10"/>
  <c r="S46" i="10" s="1"/>
  <c r="X13" i="10"/>
  <c r="U46" i="10"/>
  <c r="K53" i="10" l="1"/>
  <c r="D11" i="16" s="1"/>
  <c r="K39" i="10"/>
  <c r="K42" i="10"/>
  <c r="K52" i="10"/>
  <c r="K45" i="10"/>
  <c r="X47" i="10"/>
  <c r="X48" i="10"/>
  <c r="X51" i="10" s="1"/>
  <c r="T42" i="10"/>
  <c r="T53" i="10"/>
  <c r="F11" i="16" s="1"/>
  <c r="T52" i="10"/>
  <c r="T46" i="10"/>
  <c r="P47" i="10"/>
  <c r="P48" i="10"/>
  <c r="P51" i="10" s="1"/>
  <c r="P53" i="10" s="1"/>
  <c r="E11" i="16" s="1"/>
  <c r="Q46" i="10"/>
  <c r="T39" i="10" s="1"/>
  <c r="T13" i="10"/>
  <c r="E45" i="10"/>
  <c r="F38" i="10"/>
  <c r="F12" i="10"/>
  <c r="C45" i="10"/>
  <c r="T48" i="10" l="1"/>
  <c r="T51" i="10" s="1"/>
  <c r="T47" i="10"/>
  <c r="F42" i="10"/>
  <c r="F53" i="10"/>
  <c r="C11" i="16" s="1"/>
  <c r="F39" i="10"/>
  <c r="F45" i="10"/>
  <c r="F52" i="10"/>
  <c r="K47" i="10"/>
  <c r="K48" i="10"/>
  <c r="K51" i="10" s="1"/>
  <c r="F47" i="10" l="1"/>
  <c r="F48" i="10"/>
  <c r="F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<sst xmlns="http://schemas.openxmlformats.org/spreadsheetml/2006/main" count="570" uniqueCount="508">
  <si>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</si>
  <si>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</si>
  <si>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</si>
  <si>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</si>
  <si>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</si>
  <si>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</si>
  <si>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</si>
  <si>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</si>
  <si>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</si>
  <si>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</si>
  <si>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</si>
  <si>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</si>
  <si>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</si>
  <si>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</si>
  <si>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</si>
  <si>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</si>
  <si>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</si>
  <si>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</si>
  <si>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</si>
  <si>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</si>
  <si>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</si>
  <si>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</si>
  <si>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</si>
  <si>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</si>
  <si>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</si>
  <si>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</si>
  <si>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</si>
  <si>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</si>
  <si>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</si>
  <si>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</si>
  <si>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</si>
  <si>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</si>
  <si>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</si>
  <si>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</si>
  <si>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</si>
  <si>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</si>
  <si>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</si>
  <si>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</si>
  <si>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</si>
  <si>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</si>
  <si>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</si>
  <si>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</si>
  <si>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</si>
  <si>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</si>
  <si>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</si>
  <si>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</si>
  <si>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</si>
  <si>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</si>
  <si>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</si>
  <si>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</si>
  <si>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</si>
  <si>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</si>
  <si>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</si>
  <si>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</si>
  <si>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</si>
  <si>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</si>
  <si>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</si>
  <si>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</si>
  <si>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</si>
  <si>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</si>
  <si>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</si>
  <si>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</si>
  <si>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</si>
  <si>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</si>
  <si>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</si>
  <si>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</si>
  <si>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</si>
  <si>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</si>
  <si>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</si>
  <si>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</si>
  <si>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</si>
  <si>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</si>
  <si>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</si>
  <si>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</si>
  <si>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</si>
  <si>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</si>
  <si>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</si>
  <si>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</si>
  <si>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</si>
  <si>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</si>
  <si>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</si>
  <si>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</si>
  <si>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</si>
  <si>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</si>
  <si>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</si>
  <si>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</si>
  <si>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</si>
  <si>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</si>
  <si>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</si>
  <si>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</si>
  <si>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</si>
  <si>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</si>
  <si>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</si>
  <si>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</si>
  <si>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</si>
  <si>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</si>
  <si>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</si>
  <si>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</si>
  <si>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</si>
  <si>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</si>
  <si>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</si>
  <si>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</si>
  <si>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</si>
  <si>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</si>
  <si>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</si>
  <si>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</si>
  <si>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</si>
  <si>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</si>
  <si>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</si>
  <si>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</si>
  <si>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</si>
  <si>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</si>
  <si>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</si>
  <si>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</si>
  <si>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</si>
  <si>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</si>
  <si>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</si>
  <si>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</si>
  <si>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</si>
  <si>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</si>
  <si>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</si>
  <si>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</si>
  <si>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</si>
  <si>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</si>
  <si>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</si>
  <si>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</si>
  <si>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</si>
  <si>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</si>
  <si>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</si>
  <si>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</si>
  <si>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</si>
  <si>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</si>
  <si>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</si>
  <si>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</si>
  <si>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</si>
  <si>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</si>
  <si>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</si>
  <si>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</si>
  <si>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</si>
  <si>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</si>
  <si>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</si>
  <si>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</si>
  <si>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</si>
  <si>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</si>
  <si>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</si>
  <si>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</si>
  <si>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</si>
  <si>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</si>
  <si>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</si>
  <si>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</si>
  <si>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</si>
  <si>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</si>
  <si>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</si>
  <si>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</si>
  <si>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</si>
  <si>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</si>
  <si>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</si>
  <si>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</si>
  <si>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</si>
  <si>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</si>
  <si>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</si>
  <si>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</si>
  <si>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</si>
  <si>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</si>
  <si>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</si>
  <si>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</si>
  <si>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</si>
  <si>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</si>
  <si>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</si>
  <si>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</si>
  <si>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</si>
  <si>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</si>
  <si>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</si>
  <si>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</si>
  <si>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</si>
  <si>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</si>
  <si>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</si>
  <si>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</si>
  <si>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</si>
  <si>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</si>
  <si>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</si>
  <si>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</si>
  <si>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</si>
  <si>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</si>
  <si>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</si>
  <si>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</si>
  <si>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</si>
  <si>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</si>
  <si>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</si>
  <si>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</si>
  <si>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</si>
  <si>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</si>
  <si>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</si>
  <si>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</si>
  <si>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</si>
  <si>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</si>
  <si>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</si>
  <si>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</si>
  <si>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</si>
  <si>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</si>
  <si>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</si>
  <si>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</si>
  <si>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</si>
  <si>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</si>
  <si>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</si>
  <si>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</si>
  <si>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</si>
  <si>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</si>
  <si>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</si>
  <si>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</si>
  <si>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</si>
  <si>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</si>
  <si>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</si>
  <si>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</si>
  <si>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</si>
  <si>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</si>
  <si>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</si>
  <si>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</si>
  <si>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</si>
  <si>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</si>
  <si>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</si>
  <si>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</si>
  <si>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</si>
  <si>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</si>
  <si>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</si>
  <si>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</si>
  <si>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</si>
  <si>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</si>
  <si>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</si>
  <si>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</si>
  <si>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</si>
  <si>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</si>
  <si>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</si>
  <si>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</si>
  <si>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</si>
  <si>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</si>
  <si>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</si>
  <si>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</si>
  <si>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</si>
  <si>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</si>
  <si>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</si>
  <si>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</si>
  <si>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</si>
  <si>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</si>
  <si>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</si>
  <si>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</si>
  <si>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</si>
  <si>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</si>
  <si>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</si>
  <si>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</si>
  <si>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</si>
  <si>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</si>
  <si>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</si>
  <si>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</si>
  <si>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</si>
  <si>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</si>
  <si>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</si>
  <si>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</si>
  <si>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</si>
  <si>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</si>
  <si>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</si>
  <si>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</si>
  <si>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</si>
  <si>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</si>
  <si>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</si>
  <si>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</si>
  <si>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</si>
  <si>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</si>
  <si>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</si>
  <si>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</si>
  <si>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</si>
  <si>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</si>
  <si>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</si>
  <si>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</si>
  <si>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</si>
  <si>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</si>
  <si>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</si>
  <si>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</si>
  <si>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</si>
  <si>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</si>
  <si>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</si>
  <si>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</si>
  <si>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</si>
  <si>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</si>
  <si>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</si>
  <si>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</si>
  <si>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</si>
  <si>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</si>
  <si>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</si>
  <si>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</si>
  <si>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</si>
  <si>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</si>
  <si>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</si>
  <si>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</si>
  <si>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</si>
  <si>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</si>
  <si>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</si>
  <si>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</si>
  <si>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</si>
  <si>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</si>
  <si>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</si>
  <si>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</si>
  <si>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</si>
  <si>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</si>
  <si>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</si>
  <si>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</si>
  <si>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</si>
  <si>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</si>
  <si>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</si>
  <si>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</si>
  <si>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</si>
  <si>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</si>
  <si>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</si>
  <si>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</si>
  <si>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</si>
  <si>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</si>
  <si>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</si>
  <si>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</si>
  <si>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</si>
  <si>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</si>
  <si>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</si>
  <si>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</si>
  <si>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</si>
  <si>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</si>
  <si>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</si>
  <si>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</si>
  <si>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</si>
  <si>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</si>
  <si>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</si>
  <si>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</si>
  <si>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</si>
  <si>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</si>
  <si>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</si>
  <si>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</si>
  <si>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</si>
  <si>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</si>
  <si>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</si>
  <si>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</si>
  <si>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</si>
  <si>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</si>
  <si>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</si>
  <si>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</si>
  <si>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</si>
  <si>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</si>
  <si>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</si>
  <si>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</si>
  <si>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</si>
  <si>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</si>
  <si>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</si>
  <si>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</si>
  <si>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</si>
  <si>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</si>
  <si>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</si>
  <si>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</si>
  <si>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</si>
  <si>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</si>
  <si>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</si>
  <si>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</si>
  <si>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</si>
  <si>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</si>
  <si>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</si>
  <si>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</si>
  <si>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</si>
  <si>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</si>
  <si>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</si>
  <si>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</si>
  <si>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</si>
  <si>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</si>
  <si>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</si>
  <si>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</si>
  <si>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</si>
  <si>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</si>
  <si>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</si>
  <si>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</si>
  <si>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</si>
  <si>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</si>
  <si>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</si>
  <si>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</si>
  <si>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</si>
  <si>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</si>
  <si>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</si>
  <si>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</si>
  <si>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</si>
  <si>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</si>
  <si>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</si>
  <si>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</si>
  <si>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</si>
  <si>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</si>
  <si>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</si>
  <si>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</si>
  <si>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</si>
  <si>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</si>
  <si>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</si>
  <si>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</si>
  <si>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</si>
  <si>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</si>
  <si>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</si>
  <si>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</si>
  <si>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</si>
  <si>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</si>
  <si>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</si>
  <si>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</si>
  <si>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</si>
  <si>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</si>
  <si>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</si>
  <si>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</si>
  <si>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</si>
  <si>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</si>
  <si>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</si>
  <si>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</si>
  <si>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</si>
  <si>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</si>
  <si>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</si>
  <si>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</si>
  <si>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</si>
  <si>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</si>
  <si>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</si>
  <si>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</si>
  <si>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</si>
  <si>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</si>
  <si>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</si>
  <si>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</si>
  <si>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</si>
  <si>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</si>
  <si>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</si>
  <si>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</si>
  <si>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</si>
  <si>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</si>
  <si>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</si>
  <si>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</si>
  <si>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</si>
  <si>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</si>
  <si>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</si>
  <si>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</si>
  <si>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</si>
  <si>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</si>
  <si>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</si>
  <si>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</si>
  <si>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</si>
  <si>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</si>
  <si>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</si>
  <si>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</si>
  <si>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</si>
  <si>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</si>
  <si>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</si>
  <si>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</si>
  <si>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</si>
  <si>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</si>
  <si>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</si>
  <si>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</si>
  <si>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</si>
  <si>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</si>
  <si>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</si>
  <si>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</si>
  <si>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</si>
  <si>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</si>
  <si>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</si>
  <si>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</si>
  <si>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</si>
  <si>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</si>
  <si>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</si>
  <si>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</si>
  <si>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</si>
  <si>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</si>
  <si>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</si>
  <si>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</si>
  <si>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</si>
  <si>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</si>
  <si>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</si>
  <si>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</si>
  <si>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</si>
  <si>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</si>
  <si>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</si>
  <si>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</si>
  <si>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</si>
  <si>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</si>
  <si>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</si>
  <si>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</si>
  <si>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</si>
  <si>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</si>
  <si>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</si>
  <si>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</si>
  <si>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</si>
  <si>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</si>
  <si>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</si>
  <si>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</si>
  <si>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</si>
  <si>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</si>
  <si>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</si>
  <si>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</si>
  <si>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</si>
  <si>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</si>
  <si>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</si>
  <si>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</si>
  <si>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</si>
  <si>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</si>
  <si>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</si>
  <si>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</si>
  <si>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</si>
  <si>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</si>
  <si>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</si>
  <si>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</si>
  <si>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</si>
  <si>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</si>
  <si>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</si>
  <si>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64040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</si>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</sst>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159</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530</v>
      </c>
      <c r="K5" s="219">
        <f>SUM('Pt 2 Premium and Claims'!K$5,'Pt 2 Premium and Claims'!K$6,-'Pt 2 Premium and Claims'!K$7,-'Pt 2 Premium and Claims'!K$13,'Pt 2 Premium and Claims'!K$14,'Pt 2 Premium and Claims'!K$16:'Pt 2 Premium and Claims'!K$17)</f>
        <v>-1</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32220491</v>
      </c>
      <c r="Q5" s="219">
        <f>SUM('Pt 2 Premium and Claims'!Q$5,'Pt 2 Premium and Claims'!Q$6,-'Pt 2 Premium and Claims'!Q$7,-'Pt 2 Premium and Claims'!Q$13,'Pt 2 Premium and Claims'!Q$14)</f>
        <v>32173354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55963370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911</v>
      </c>
      <c r="Q7" s="223">
        <v>911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1582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161571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914</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-25621</v>
      </c>
      <c r="K12" s="219">
        <f>'Pt 2 Premium and Claims'!K$54</f>
        <v>-473</v>
      </c>
      <c r="L12" s="219">
        <f>'Pt 2 Premium and Claims'!L$54</f>
        <v>0</v>
      </c>
      <c r="M12" s="219">
        <f>'Pt 2 Premium and Claims'!M$54</f>
        <v>0</v>
      </c>
      <c r="N12" s="219">
        <f>'Pt 2 Premium and Claims'!N$54</f>
        <v>0</v>
      </c>
      <c r="O12" s="218">
        <f>'Pt 2 Premium and Claims'!O$54</f>
        <v>0</v>
      </c>
      <c r="P12" s="218">
        <f>'Pt 2 Premium and Claims'!P$54</f>
        <v>27965575</v>
      </c>
      <c r="Q12" s="219">
        <f>'Pt 2 Premium and Claims'!Q$54</f>
        <v>27859178</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41191250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3091241</v>
      </c>
      <c r="Q13" s="223">
        <v>3113733</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67</v>
      </c>
      <c r="AU13" s="226">
        <v>0</v>
      </c>
      <c r="AV13" s="296"/>
      <c r="AW13" s="303"/>
    </row>
    <row r="14" spans="1:49" ht="25.5" x14ac:dyDescent="0.2">
      <c r="B14" s="245" t="s">
        <v>231</v>
      </c>
      <c r="C14" s="209" t="s">
        <v>6</v>
      </c>
      <c r="D14" s="222">
        <v>0</v>
      </c>
      <c r="E14" s="223">
        <v>0</v>
      </c>
      <c r="F14" s="223"/>
      <c r="G14" s="273"/>
      <c r="H14" s="276"/>
      <c r="I14" s="222">
        <v>0</v>
      </c>
      <c r="J14" s="222">
        <v>0</v>
      </c>
      <c r="K14" s="223">
        <v>249</v>
      </c>
      <c r="L14" s="223"/>
      <c r="M14" s="273"/>
      <c r="N14" s="276"/>
      <c r="O14" s="222"/>
      <c r="P14" s="222">
        <v>583876</v>
      </c>
      <c r="Q14" s="223">
        <v>795140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50635</v>
      </c>
      <c r="AU14" s="226">
        <v>0</v>
      </c>
      <c r="AV14" s="296"/>
      <c r="AW14" s="303"/>
    </row>
    <row r="15" spans="1:49" ht="38.25" x14ac:dyDescent="0.2">
      <c r="B15" s="245" t="s">
        <v>232</v>
      </c>
      <c r="C15" s="209" t="s">
        <v>7</v>
      </c>
      <c r="D15" s="222">
        <v>0</v>
      </c>
      <c r="E15" s="223">
        <v>0</v>
      </c>
      <c r="F15" s="223"/>
      <c r="G15" s="273"/>
      <c r="H15" s="279"/>
      <c r="I15" s="222">
        <v>0</v>
      </c>
      <c r="J15" s="222">
        <v>-4</v>
      </c>
      <c r="K15" s="223">
        <v>0</v>
      </c>
      <c r="L15" s="223"/>
      <c r="M15" s="273"/>
      <c r="N15" s="279"/>
      <c r="O15" s="222"/>
      <c r="P15" s="222">
        <v>96783</v>
      </c>
      <c r="Q15" s="223">
        <v>100718</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-247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-310</v>
      </c>
      <c r="E25" s="223">
        <v>-310</v>
      </c>
      <c r="F25" s="223"/>
      <c r="G25" s="223"/>
      <c r="H25" s="223"/>
      <c r="I25" s="222">
        <v>0</v>
      </c>
      <c r="J25" s="222">
        <v>8450</v>
      </c>
      <c r="K25" s="223">
        <v>8450</v>
      </c>
      <c r="L25" s="223"/>
      <c r="M25" s="223"/>
      <c r="N25" s="223"/>
      <c r="O25" s="222"/>
      <c r="P25" s="222">
        <v>335546</v>
      </c>
      <c r="Q25" s="223">
        <v>335546</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3313204</v>
      </c>
      <c r="AU25" s="226">
        <v>0</v>
      </c>
      <c r="AV25" s="226">
        <v>7826354</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22232</v>
      </c>
      <c r="Q26" s="223">
        <v>22232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3</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663496</v>
      </c>
      <c r="Q27" s="223">
        <v>663496</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305415</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92717</v>
      </c>
      <c r="Q28" s="223">
        <v>92717</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66283</v>
      </c>
      <c r="AU28" s="226">
        <v>0</v>
      </c>
      <c r="AV28" s="226">
        <v>1670675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2</v>
      </c>
      <c r="K30" s="223">
        <v>2</v>
      </c>
      <c r="L30" s="223"/>
      <c r="M30" s="223"/>
      <c r="N30" s="223"/>
      <c r="O30" s="222"/>
      <c r="P30" s="222">
        <v>100522</v>
      </c>
      <c r="Q30" s="223">
        <v>100522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172880</v>
      </c>
      <c r="AU30" s="226">
        <v>0</v>
      </c>
      <c r="AV30" s="226">
        <v>43682</v>
      </c>
      <c r="AW30" s="303"/>
    </row>
    <row r="31" spans="1:49" x14ac:dyDescent="0.2">
      <c r="B31" s="248" t="s">
        <v>247</v>
      </c>
      <c r="C31" s="209"/>
      <c r="D31" s="222">
        <v>0</v>
      </c>
      <c r="E31" s="223">
        <v>0</v>
      </c>
      <c r="F31" s="223"/>
      <c r="G31" s="223"/>
      <c r="H31" s="223"/>
      <c r="I31" s="222">
        <v>0</v>
      </c>
      <c r="J31" s="222">
        <v>9</v>
      </c>
      <c r="K31" s="223">
        <v>9</v>
      </c>
      <c r="L31" s="223"/>
      <c r="M31" s="223"/>
      <c r="N31" s="223"/>
      <c r="O31" s="222"/>
      <c r="P31" s="222">
        <v>553994</v>
      </c>
      <c r="Q31" s="223">
        <v>553994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962225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424062</v>
      </c>
      <c r="Q34" s="223">
        <v>424062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-5103</v>
      </c>
      <c r="Q35" s="223">
        <v>-5103</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7617</v>
      </c>
      <c r="AU35" s="226">
        <v>0</v>
      </c>
      <c r="AV35" s="226">
        <v>-13483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8</v>
      </c>
      <c r="E37" s="231">
        <v>8</v>
      </c>
      <c r="F37" s="231"/>
      <c r="G37" s="231"/>
      <c r="H37" s="231"/>
      <c r="I37" s="230">
        <v>0</v>
      </c>
      <c r="J37" s="230">
        <v>35</v>
      </c>
      <c r="K37" s="231">
        <v>35</v>
      </c>
      <c r="L37" s="231"/>
      <c r="M37" s="231"/>
      <c r="N37" s="231"/>
      <c r="O37" s="230"/>
      <c r="P37" s="230">
        <v>30296</v>
      </c>
      <c r="Q37" s="231">
        <v>30484</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1145</v>
      </c>
      <c r="AU37" s="232">
        <v>0</v>
      </c>
      <c r="AV37" s="232">
        <v>1753278</v>
      </c>
      <c r="AW37" s="302"/>
    </row>
    <row r="38" spans="1:49" x14ac:dyDescent="0.2">
      <c r="B38" s="245" t="s">
        <v>254</v>
      </c>
      <c r="C38" s="209" t="s">
        <v>16</v>
      </c>
      <c r="D38" s="222">
        <v>8</v>
      </c>
      <c r="E38" s="223">
        <v>8</v>
      </c>
      <c r="F38" s="223"/>
      <c r="G38" s="223"/>
      <c r="H38" s="223"/>
      <c r="I38" s="222">
        <v>0</v>
      </c>
      <c r="J38" s="222">
        <v>35</v>
      </c>
      <c r="K38" s="223">
        <v>35</v>
      </c>
      <c r="L38" s="223"/>
      <c r="M38" s="223"/>
      <c r="N38" s="223"/>
      <c r="O38" s="222"/>
      <c r="P38" s="222">
        <v>7759</v>
      </c>
      <c r="Q38" s="223">
        <v>7807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257</v>
      </c>
      <c r="AU38" s="226">
        <v>0</v>
      </c>
      <c r="AV38" s="226">
        <v>250753</v>
      </c>
      <c r="AW38" s="303"/>
    </row>
    <row r="39" spans="1:49" x14ac:dyDescent="0.2">
      <c r="B39" s="248" t="s">
        <v>255</v>
      </c>
      <c r="C39" s="209" t="s">
        <v>17</v>
      </c>
      <c r="D39" s="222">
        <v>8</v>
      </c>
      <c r="E39" s="223">
        <v>8</v>
      </c>
      <c r="F39" s="223"/>
      <c r="G39" s="223"/>
      <c r="H39" s="223"/>
      <c r="I39" s="222">
        <v>0</v>
      </c>
      <c r="J39" s="222">
        <v>35</v>
      </c>
      <c r="K39" s="223">
        <v>35</v>
      </c>
      <c r="L39" s="223"/>
      <c r="M39" s="223"/>
      <c r="N39" s="223"/>
      <c r="O39" s="222"/>
      <c r="P39" s="222">
        <v>15060</v>
      </c>
      <c r="Q39" s="223">
        <v>15031</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285</v>
      </c>
      <c r="AU39" s="226">
        <v>0</v>
      </c>
      <c r="AV39" s="226">
        <v>42651</v>
      </c>
      <c r="AW39" s="303"/>
    </row>
    <row r="40" spans="1:49" x14ac:dyDescent="0.2">
      <c r="B40" s="248" t="s">
        <v>256</v>
      </c>
      <c r="C40" s="209" t="s">
        <v>38</v>
      </c>
      <c r="D40" s="222">
        <v>8</v>
      </c>
      <c r="E40" s="223">
        <v>8</v>
      </c>
      <c r="F40" s="223"/>
      <c r="G40" s="223"/>
      <c r="H40" s="223"/>
      <c r="I40" s="222">
        <v>0</v>
      </c>
      <c r="J40" s="222">
        <v>35</v>
      </c>
      <c r="K40" s="223">
        <v>35</v>
      </c>
      <c r="L40" s="223"/>
      <c r="M40" s="223"/>
      <c r="N40" s="223"/>
      <c r="O40" s="222"/>
      <c r="P40" s="222">
        <v>2776</v>
      </c>
      <c r="Q40" s="223">
        <v>2792</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1072</v>
      </c>
      <c r="AU40" s="226">
        <v>0</v>
      </c>
      <c r="AV40" s="226">
        <v>274671</v>
      </c>
      <c r="AW40" s="303"/>
    </row>
    <row r="41" spans="1:49" s="11" customFormat="1" ht="25.5" x14ac:dyDescent="0.2">
      <c r="A41" s="41"/>
      <c r="B41" s="248" t="s">
        <v>257</v>
      </c>
      <c r="C41" s="209" t="s">
        <v>129</v>
      </c>
      <c r="D41" s="222">
        <v>8</v>
      </c>
      <c r="E41" s="223">
        <v>8</v>
      </c>
      <c r="F41" s="223"/>
      <c r="G41" s="223"/>
      <c r="H41" s="223"/>
      <c r="I41" s="222">
        <v>0</v>
      </c>
      <c r="J41" s="222">
        <v>35</v>
      </c>
      <c r="K41" s="223">
        <v>35</v>
      </c>
      <c r="L41" s="223"/>
      <c r="M41" s="223"/>
      <c r="N41" s="223"/>
      <c r="O41" s="222"/>
      <c r="P41" s="222">
        <v>14940</v>
      </c>
      <c r="Q41" s="223">
        <v>14976</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6123</v>
      </c>
      <c r="AU41" s="226">
        <v>0</v>
      </c>
      <c r="AV41" s="226">
        <v>778846</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1387</v>
      </c>
      <c r="Q42" s="223">
        <v>1387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35</v>
      </c>
      <c r="AU42" s="226">
        <v>0</v>
      </c>
      <c r="AV42" s="226">
        <v>31780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585844</v>
      </c>
      <c r="Q44" s="231">
        <v>579250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50326</v>
      </c>
      <c r="AU44" s="232">
        <v>0</v>
      </c>
      <c r="AV44" s="232">
        <v>8717703</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6465</v>
      </c>
      <c r="Q45" s="223">
        <v>6465</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2697</v>
      </c>
      <c r="AU45" s="226">
        <v>0</v>
      </c>
      <c r="AV45" s="226">
        <v>-7571</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188059</v>
      </c>
      <c r="Q46" s="223">
        <v>188059</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188965</v>
      </c>
      <c r="AU46" s="226">
        <v>0</v>
      </c>
      <c r="AV46" s="226">
        <v>2792574</v>
      </c>
      <c r="AW46" s="303"/>
    </row>
    <row r="47" spans="1:49" x14ac:dyDescent="0.2">
      <c r="B47" s="251" t="s">
        <v>263</v>
      </c>
      <c r="C47" s="209" t="s">
        <v>21</v>
      </c>
      <c r="D47" s="222">
        <v>0</v>
      </c>
      <c r="E47" s="223">
        <v>0</v>
      </c>
      <c r="F47" s="223"/>
      <c r="G47" s="223"/>
      <c r="H47" s="223"/>
      <c r="I47" s="222">
        <v>0</v>
      </c>
      <c r="J47" s="222">
        <v>12</v>
      </c>
      <c r="K47" s="223">
        <v>12</v>
      </c>
      <c r="L47" s="223"/>
      <c r="M47" s="223"/>
      <c r="N47" s="223"/>
      <c r="O47" s="222"/>
      <c r="P47" s="222">
        <v>717286</v>
      </c>
      <c r="Q47" s="223">
        <v>717286</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1238783</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14051</v>
      </c>
      <c r="Q49" s="223">
        <v>14051</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-105</v>
      </c>
      <c r="AU49" s="226">
        <v>0</v>
      </c>
      <c r="AV49" s="226">
        <v>38470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42920</v>
      </c>
      <c r="Q50" s="223">
        <v>42920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9988</v>
      </c>
      <c r="AU50" s="226">
        <v>0</v>
      </c>
      <c r="AV50" s="226">
        <v>97925</v>
      </c>
      <c r="AW50" s="303"/>
    </row>
    <row r="51" spans="2:49" x14ac:dyDescent="0.2">
      <c r="B51" s="245" t="s">
        <v>266</v>
      </c>
      <c r="C51" s="209"/>
      <c r="D51" s="222">
        <v>0</v>
      </c>
      <c r="E51" s="223">
        <v>0</v>
      </c>
      <c r="F51" s="223"/>
      <c r="G51" s="223"/>
      <c r="H51" s="223"/>
      <c r="I51" s="222">
        <v>0</v>
      </c>
      <c r="J51" s="222">
        <v>0</v>
      </c>
      <c r="K51" s="223">
        <v>0</v>
      </c>
      <c r="L51" s="223"/>
      <c r="M51" s="223"/>
      <c r="N51" s="223"/>
      <c r="O51" s="222"/>
      <c r="P51" s="222">
        <v>441028</v>
      </c>
      <c r="Q51" s="223">
        <v>441028</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2050185</v>
      </c>
      <c r="AU51" s="226">
        <v>0</v>
      </c>
      <c r="AV51" s="226">
        <v>45101718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2198</v>
      </c>
      <c r="Q53" s="223">
        <v>2198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8202</v>
      </c>
      <c r="AU53" s="226">
        <v>0</v>
      </c>
      <c r="AV53" s="226">
        <v>93622</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85612709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3347</v>
      </c>
      <c r="Q56" s="235">
        <v>3347</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34532</v>
      </c>
      <c r="AU56" s="236">
        <v>0</v>
      </c>
      <c r="AV56" s="236">
        <v>228841</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7062</v>
      </c>
      <c r="Q57" s="238">
        <v>7062</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68589</v>
      </c>
      <c r="AU57" s="239">
        <v>0</v>
      </c>
      <c r="AV57" s="239">
        <v>487637</v>
      </c>
      <c r="AW57" s="295"/>
    </row>
    <row r="58" spans="2:49" x14ac:dyDescent="0.2">
      <c r="B58" s="251" t="s">
        <v>273</v>
      </c>
      <c r="C58" s="209" t="s">
        <v>26</v>
      </c>
      <c r="D58" s="315"/>
      <c r="E58" s="316"/>
      <c r="F58" s="316"/>
      <c r="G58" s="316"/>
      <c r="H58" s="316"/>
      <c r="I58" s="315"/>
      <c r="J58" s="237">
        <v>0</v>
      </c>
      <c r="K58" s="238">
        <v>0</v>
      </c>
      <c r="L58" s="238"/>
      <c r="M58" s="238"/>
      <c r="N58" s="238"/>
      <c r="O58" s="237"/>
      <c r="P58" s="237">
        <v>19</v>
      </c>
      <c r="Q58" s="238">
        <v>19</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58</v>
      </c>
      <c r="AU58" s="239">
        <v>0</v>
      </c>
      <c r="AV58" s="239">
        <v>136</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78735</v>
      </c>
      <c r="Q59" s="238">
        <v>78735</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792448</v>
      </c>
      <c r="AU59" s="239">
        <v>0</v>
      </c>
      <c r="AV59" s="239">
        <v>6000512</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6561.25</v>
      </c>
      <c r="Q60" s="241">
        <f>Q$59/12</f>
        <v>6561.25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66037.333333333328</v>
      </c>
      <c r="AU60" s="242">
        <f>AU$59/12</f>
        <v>0</v>
      </c>
      <c r="AV60" s="242">
        <f>AV$59/12</f>
        <v>500042.66666666669</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2826526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931448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288</v>
      </c>
      <c r="E5" s="332">
        <v>-11212</v>
      </c>
      <c r="F5" s="332"/>
      <c r="G5" s="334"/>
      <c r="H5" s="334"/>
      <c r="I5" s="331">
        <v>0</v>
      </c>
      <c r="J5" s="331">
        <v>-497</v>
      </c>
      <c r="K5" s="332">
        <v>-497</v>
      </c>
      <c r="L5" s="332"/>
      <c r="M5" s="332"/>
      <c r="N5" s="332"/>
      <c r="O5" s="331"/>
      <c r="P5" s="331">
        <v>29925052</v>
      </c>
      <c r="Q5" s="332">
        <v>29778579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55722741</v>
      </c>
      <c r="AU5" s="333">
        <v>0</v>
      </c>
      <c r="AV5" s="375"/>
      <c r="AW5" s="379"/>
    </row>
    <row r="6" spans="2:49" x14ac:dyDescent="0.2">
      <c r="B6" s="349" t="s">
        <v>278</v>
      </c>
      <c r="C6" s="337" t="s">
        <v>8</v>
      </c>
      <c r="D6" s="324">
        <v>11212</v>
      </c>
      <c r="E6" s="325">
        <v>11212</v>
      </c>
      <c r="F6" s="325"/>
      <c r="G6" s="326"/>
      <c r="H6" s="326"/>
      <c r="I6" s="324">
        <v>0</v>
      </c>
      <c r="J6" s="324">
        <v>496</v>
      </c>
      <c r="K6" s="325">
        <v>496</v>
      </c>
      <c r="L6" s="325"/>
      <c r="M6" s="325"/>
      <c r="N6" s="325"/>
      <c r="O6" s="324"/>
      <c r="P6" s="324">
        <v>2389543</v>
      </c>
      <c r="Q6" s="325">
        <v>2389543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118407</v>
      </c>
      <c r="AU6" s="327">
        <v>0</v>
      </c>
      <c r="AV6" s="374"/>
      <c r="AW6" s="380"/>
    </row>
    <row r="7" spans="2:49" x14ac:dyDescent="0.2">
      <c r="B7" s="349" t="s">
        <v>279</v>
      </c>
      <c r="C7" s="337" t="s">
        <v>9</v>
      </c>
      <c r="D7" s="324">
        <v>11500</v>
      </c>
      <c r="E7" s="325"/>
      <c r="F7" s="325"/>
      <c r="G7" s="326"/>
      <c r="H7" s="326"/>
      <c r="I7" s="324"/>
      <c r="J7" s="324">
        <v>0</v>
      </c>
      <c r="K7" s="325"/>
      <c r="L7" s="325"/>
      <c r="M7" s="325"/>
      <c r="N7" s="325"/>
      <c r="O7" s="324"/>
      <c r="P7" s="324">
        <v>94094</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348192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4013207</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4013207</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562177</v>
      </c>
      <c r="Q11" s="325">
        <v>-1438681</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2098541</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-531</v>
      </c>
      <c r="K13" s="325">
        <v>0</v>
      </c>
      <c r="L13" s="325"/>
      <c r="M13" s="325"/>
      <c r="N13" s="325"/>
      <c r="O13" s="324"/>
      <c r="P13" s="324">
        <v>10</v>
      </c>
      <c r="Q13" s="325">
        <v>-5232</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-470414</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914</v>
      </c>
      <c r="E23" s="368"/>
      <c r="F23" s="368"/>
      <c r="G23" s="368"/>
      <c r="H23" s="368"/>
      <c r="I23" s="370"/>
      <c r="J23" s="324">
        <v>1108</v>
      </c>
      <c r="K23" s="368"/>
      <c r="L23" s="368"/>
      <c r="M23" s="368"/>
      <c r="N23" s="368"/>
      <c r="O23" s="370"/>
      <c r="P23" s="324">
        <v>28855252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40459663</v>
      </c>
      <c r="AU23" s="327">
        <v>0</v>
      </c>
      <c r="AV23" s="374"/>
      <c r="AW23" s="380"/>
    </row>
    <row r="24" spans="2:49" ht="28.5" customHeight="1" x14ac:dyDescent="0.2">
      <c r="B24" s="351" t="s">
        <v>114</v>
      </c>
      <c r="C24" s="337"/>
      <c r="D24" s="371"/>
      <c r="E24" s="325">
        <v>0</v>
      </c>
      <c r="F24" s="325"/>
      <c r="G24" s="325"/>
      <c r="H24" s="325"/>
      <c r="I24" s="324">
        <v>0</v>
      </c>
      <c r="J24" s="371"/>
      <c r="K24" s="325">
        <v>-246</v>
      </c>
      <c r="L24" s="325"/>
      <c r="M24" s="325"/>
      <c r="N24" s="325"/>
      <c r="O24" s="324"/>
      <c r="P24" s="371"/>
      <c r="Q24" s="325">
        <v>28171907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44</v>
      </c>
      <c r="K26" s="368"/>
      <c r="L26" s="368"/>
      <c r="M26" s="368"/>
      <c r="N26" s="368"/>
      <c r="O26" s="370"/>
      <c r="P26" s="324">
        <v>5124700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5865433</v>
      </c>
      <c r="AU26" s="327">
        <v>0</v>
      </c>
      <c r="AV26" s="374"/>
      <c r="AW26" s="380"/>
    </row>
    <row r="27" spans="2:49" s="11" customFormat="1" ht="25.5" x14ac:dyDescent="0.2">
      <c r="B27" s="351" t="s">
        <v>85</v>
      </c>
      <c r="C27" s="337"/>
      <c r="D27" s="371"/>
      <c r="E27" s="325">
        <v>0</v>
      </c>
      <c r="F27" s="325"/>
      <c r="G27" s="325"/>
      <c r="H27" s="325"/>
      <c r="I27" s="324">
        <v>0</v>
      </c>
      <c r="J27" s="371"/>
      <c r="K27" s="325">
        <v>8</v>
      </c>
      <c r="L27" s="325"/>
      <c r="M27" s="325"/>
      <c r="N27" s="325"/>
      <c r="O27" s="324"/>
      <c r="P27" s="371"/>
      <c r="Q27" s="325">
        <v>-2901794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27157</v>
      </c>
      <c r="K28" s="369"/>
      <c r="L28" s="369"/>
      <c r="M28" s="369"/>
      <c r="N28" s="369"/>
      <c r="O28" s="371"/>
      <c r="P28" s="324">
        <v>8556757</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5132711</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49641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49641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235</v>
      </c>
      <c r="K36" s="325">
        <v>235</v>
      </c>
      <c r="L36" s="325"/>
      <c r="M36" s="325"/>
      <c r="N36" s="325"/>
      <c r="O36" s="324"/>
      <c r="P36" s="324">
        <v>45256</v>
      </c>
      <c r="Q36" s="325">
        <v>45256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4013207</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4013207</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562177</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-1438681</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2098541</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12756</v>
      </c>
      <c r="Q45" s="325">
        <v>10355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-185</v>
      </c>
      <c r="K49" s="325">
        <v>0</v>
      </c>
      <c r="L49" s="325"/>
      <c r="M49" s="325"/>
      <c r="N49" s="325"/>
      <c r="O49" s="324"/>
      <c r="P49" s="324">
        <v>248746</v>
      </c>
      <c r="Q49" s="325">
        <v>201</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1135</v>
      </c>
      <c r="AU49" s="327">
        <v>0</v>
      </c>
      <c r="AV49" s="374"/>
      <c r="AW49" s="380"/>
    </row>
    <row r="50" spans="2:49" x14ac:dyDescent="0.2">
      <c r="B50" s="349" t="s">
        <v>119</v>
      </c>
      <c r="C50" s="337" t="s">
        <v>34</v>
      </c>
      <c r="D50" s="324">
        <v>0</v>
      </c>
      <c r="E50" s="369"/>
      <c r="F50" s="369"/>
      <c r="G50" s="369"/>
      <c r="H50" s="369"/>
      <c r="I50" s="371"/>
      <c r="J50" s="324">
        <v>434</v>
      </c>
      <c r="K50" s="369"/>
      <c r="L50" s="369"/>
      <c r="M50" s="369"/>
      <c r="N50" s="369"/>
      <c r="O50" s="371"/>
      <c r="P50" s="324">
        <v>297142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914</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-25621</v>
      </c>
      <c r="K54" s="329">
        <f>K24+K27+K31+K35-K36+K39+K42+K45+K46-K49+K51+K52+K53</f>
        <v>-473</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27965575</v>
      </c>
      <c r="Q54" s="329">
        <f>Q24+Q27+Q31+Q35-Q36+Q39+Q42+Q45+Q46-Q49+Q51+Q52+Q53</f>
        <v>27859178</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41191250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21569644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3487</v>
      </c>
      <c r="D6" s="404">
        <v>-735</v>
      </c>
      <c r="E6" s="406">
        <f>SUM('Pt 1 Summary of Data'!E$12,'Pt 1 Summary of Data'!E$22)+SUM('Pt 1 Summary of Data'!G$12,'Pt 1 Summary of Data'!G$22)-SUM('Pt 1 Summary of Data'!H$12,'Pt 1 Summary of Data'!H$22)</f>
        <v>0</v>
      </c>
      <c r="F6" s="406">
        <f>SUM(C6:E6)</f>
        <v>2752</v>
      </c>
      <c r="G6" s="407">
        <f>SUM('Pt 1 Summary of Data'!I$12,'Pt 1 Summary of Data'!I$22)</f>
        <v>0</v>
      </c>
      <c r="H6" s="403">
        <v>967825</v>
      </c>
      <c r="I6" s="404">
        <v>204293</v>
      </c>
      <c r="J6" s="406">
        <f>SUM('Pt 1 Summary of Data'!K$12,'Pt 1 Summary of Data'!K$22)+SUM('Pt 1 Summary of Data'!M$12,'Pt 1 Summary of Data'!M$22)-SUM('Pt 1 Summary of Data'!N$12,'Pt 1 Summary of Data'!N$22)</f>
        <v>-473</v>
      </c>
      <c r="K6" s="406">
        <f>SUM(H6:J6)</f>
        <v>1171645</v>
      </c>
      <c r="L6" s="407">
        <f>SUM('Pt 1 Summary of Data'!O$12,'Pt 1 Summary of Data'!O$22)</f>
        <v>0</v>
      </c>
      <c r="M6" s="403">
        <v>35404558</v>
      </c>
      <c r="N6" s="404">
        <v>19292440</v>
      </c>
      <c r="O6" s="406">
        <f>SUM('Pt 1 Summary of Data'!Q$12,'Pt 1 Summary of Data'!Q$22)+SUM('Pt 1 Summary of Data'!S$12,'Pt 1 Summary of Data'!S$22)-SUM('Pt 1 Summary of Data'!T$12,'Pt 1 Summary of Data'!T$22)</f>
        <v>27859178</v>
      </c>
      <c r="P6" s="406">
        <f>SUM(M6:O6)</f>
        <v>82556176</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20</v>
      </c>
      <c r="D7" s="404">
        <v>0</v>
      </c>
      <c r="E7" s="406">
        <f>SUM('Pt 1 Summary of Data'!E$37:E$41)+SUM('Pt 1 Summary of Data'!G$37:G$41)-SUM('Pt 1 Summary of Data'!H$37:H$41)+MAX(0,MIN('Pt 1 Summary of Data'!E$42+'Pt 1 Summary of Data'!G$42-'Pt 1 Summary of Data'!H$42,0.3%*('Pt 1 Summary of Data'!E$5+'Pt 1 Summary of Data'!G$5-'Pt 1 Summary of Data'!H$5-SUM(E$9:E$11))))</f>
        <v>40</v>
      </c>
      <c r="F7" s="406">
        <f>SUM(C7:E7)</f>
        <v>60</v>
      </c>
      <c r="G7" s="407">
        <f>SUM('Pt 1 Summary of Data'!I$37:I$41)+MAX(0,MIN(VALUE('Pt 1 Summary of Data'!I$42),0.3%*('Pt 1 Summary of Data'!I$5-SUM(G$9:G$10))))</f>
        <v>0</v>
      </c>
      <c r="H7" s="403">
        <v>5868</v>
      </c>
      <c r="I7" s="404">
        <v>737</v>
      </c>
      <c r="J7" s="406">
        <f>SUM('Pt 1 Summary of Data'!K$37:K$41)+SUM('Pt 1 Summary of Data'!M$37:M$41)-SUM('Pt 1 Summary of Data'!N$37:N$41)+MAX(0,MIN('Pt 1 Summary of Data'!K$42+'Pt 1 Summary of Data'!M$42-'Pt 1 Summary of Data'!N$42,0.3%*('Pt 1 Summary of Data'!K$5+'Pt 1 Summary of Data'!M$5-'Pt 1 Summary of Data'!N$5-SUM(J$10:J$11))))</f>
        <v>175</v>
      </c>
      <c r="K7" s="406">
        <f>SUM(H7:J7)</f>
        <v>6780</v>
      </c>
      <c r="L7" s="407">
        <f>SUM('Pt 1 Summary of Data'!O$37:O$41)+MAX(0,MIN(VALUE('Pt 1 Summary of Data'!O$42),0.3%*('Pt 1 Summary of Data'!O$5-L$10)))</f>
        <v>0</v>
      </c>
      <c r="M7" s="403">
        <v>253226</v>
      </c>
      <c r="N7" s="404">
        <v>59425</v>
      </c>
      <c r="O7" s="406">
        <f>SUM('Pt 1 Summary of Data'!Q$37:Q$41)+SUM('Pt 1 Summary of Data'!S$37:S$41)-SUM('Pt 1 Summary of Data'!T$37:T$41)+MAX(0,MIN('Pt 1 Summary of Data'!Q$42+'Pt 1 Summary of Data'!S$42-'Pt 1 Summary of Data'!T$42,0.3%*('Pt 1 Summary of Data'!Q$5+'Pt 1 Summary of Data'!S$5-'Pt 1 Summary of Data'!T$5)))</f>
        <v>72477</v>
      </c>
      <c r="P7" s="406">
        <f>SUM(M7:O7)</f>
        <v>385128</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977200</v>
      </c>
      <c r="D12" s="406">
        <f>SUM(D$6:D$7) - SUM(D$8:D$11)+IF(AND(OR('Company Information'!$C$12="District of Columbia",'Company Information'!$C$12="Massachusetts",'Company Information'!$C$12="Vermont"),SUM($C$6:$F$11,$C$15:$F$16,$C$38:$D$38)&lt;&gt;0),SUM(I$6:I$7) - SUM(I$10:I$11),0)</f>
        <v>204295</v>
      </c>
      <c r="E12" s="406">
        <f>SUM(E$6:E$7)-SUM(E$8:E$11)+IF(AND(OR('Company Information'!$C$12="District of Columbia",'Company Information'!$C$12="Massachusetts",'Company Information'!$C$12="Vermont"),SUM($C$6:$F$11,$C$15:$F$16,$C$38:$D$38)&lt;&gt;0),SUM(J$6:J$7)-SUM(J$10:J$11),0)</f>
        <v>-258</v>
      </c>
      <c r="F12" s="406">
        <f>IFERROR(SUM(C$12:E$12)+C$17*MAX(0,E$50-C$50)+D$17*MAX(0,E$50-D$50),0)</f>
        <v>1279793.48</v>
      </c>
      <c r="G12" s="453"/>
      <c r="H12" s="405">
        <f>SUM(H$6:H$7)+IF(AND(OR('Company Information'!$C$12="District of Columbia",'Company Information'!$C$12="Massachusetts",'Company Information'!$C$12="Vermont"),SUM($H$6:$K$11,$H$15:$K$16,$H$38:$I$38)&lt;&gt;0),SUM(C$6:C$7),0)</f>
        <v>977200</v>
      </c>
      <c r="I12" s="406">
        <f>SUM(I$6:I$7) - SUM(I$10:I$11)+IF(AND(OR('Company Information'!$C$12="District of Columbia",'Company Information'!$C$12="Massachusetts",'Company Information'!$C$12="Vermont"),SUM($H$6:$K$11,$H$15:$K$16,$H$38:$I$38)&lt;&gt;0),SUM(D$6:D$7) - SUM(D$8:D$11),0)</f>
        <v>204295</v>
      </c>
      <c r="J12" s="406">
        <f>SUM(J$6:J$7)-SUM(J$10:J$11)+IF(AND(OR('Company Information'!$C$12="District of Columbia",'Company Information'!$C$12="Massachusetts",'Company Information'!$C$12="Vermont"),SUM($H$6:$K$11,$H$15:$K$16,$H$38:$I$38)&lt;&gt;0),SUM(E$6:E$7)-SUM(E$8:E$11),0)</f>
        <v>-258</v>
      </c>
      <c r="K12" s="406">
        <f>IFERROR(SUM(H$12:J$12)+H$17*MAX(0,J$50-H$50)+I$17*MAX(0,J$50-I$50),0)</f>
        <v>1279793.48</v>
      </c>
      <c r="L12" s="453"/>
      <c r="M12" s="405">
        <f>SUM(M$6:M$7)</f>
        <v>35657784</v>
      </c>
      <c r="N12" s="406">
        <f>SUM(N$6:N$7)</f>
        <v>19351865</v>
      </c>
      <c r="O12" s="406">
        <f>SUM(O$6:O$7)</f>
        <v>27931655</v>
      </c>
      <c r="P12" s="406">
        <f>SUM(M$12:O$12)+M$17*MAX(0,O$50-M$50)+N$17*MAX(0,O$50-N$50)</f>
        <v>82941304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15238</v>
      </c>
      <c r="D15" s="409">
        <v>0</v>
      </c>
      <c r="E15" s="401">
        <f>SUM('Pt 1 Summary of Data'!E$5:E$7)+SUM('Pt 1 Summary of Data'!G$5:G$7)-SUM('Pt 1 Summary of Data'!H$5:H$7)-SUM(E$9:E$11)</f>
        <v>0</v>
      </c>
      <c r="F15" s="401">
        <f>SUM(C15:E15)</f>
        <v>15238</v>
      </c>
      <c r="G15" s="402">
        <f>SUM('Pt 1 Summary of Data'!I$5:I$7)-SUM(G$9:G$10)</f>
        <v>0</v>
      </c>
      <c r="H15" s="408">
        <v>1299550</v>
      </c>
      <c r="I15" s="409">
        <v>324667</v>
      </c>
      <c r="J15" s="401">
        <f>SUM('Pt 1 Summary of Data'!K$5:K$7)+SUM('Pt 1 Summary of Data'!M$5:M$7)-SUM('Pt 1 Summary of Data'!N$5:N$7)-SUM(J$10:J$11)</f>
        <v>-1</v>
      </c>
      <c r="K15" s="401">
        <f>SUM(H15:J15)</f>
        <v>1624216</v>
      </c>
      <c r="L15" s="402">
        <f>SUM('Pt 1 Summary of Data'!O$5:O$7)-L$10</f>
        <v>0</v>
      </c>
      <c r="M15" s="408">
        <v>42929333</v>
      </c>
      <c r="N15" s="409">
        <v>27832111</v>
      </c>
      <c r="O15" s="401">
        <f>SUM('Pt 1 Summary of Data'!Q$5:Q$7)+SUM('Pt 1 Summary of Data'!S$5:S$7)-SUM('Pt 1 Summary of Data'!T$5:T$7)+N$56</f>
        <v>32174265</v>
      </c>
      <c r="P15" s="401">
        <f>SUM(M15:O15)</f>
        <v>102935709</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3650</v>
      </c>
      <c r="D16" s="404">
        <v>927</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-310</v>
      </c>
      <c r="F16" s="406">
        <f>SUM(C16:E16)</f>
        <v>4267</v>
      </c>
      <c r="G16" s="407">
        <f>SUM('Pt 1 Summary of Data'!I$25:I$28,'Pt 1 Summary of Data'!I$30,'Pt 1 Summary of Data'!I$34:I$35)+IF('Company Information'!$C$15="No",IF(MAX('Pt 1 Summary of Data'!I$31:I$32)=0,MIN('Pt 1 Summary of Data'!I$31:I$32),MAX('Pt 1 Summary of Data'!I$31:I$32)),SUM('Pt 1 Summary of Data'!I$31:I$32))</f>
        <v>0</v>
      </c>
      <c r="H16" s="403">
        <v>79182</v>
      </c>
      <c r="I16" s="404">
        <v>54556</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8461</v>
      </c>
      <c r="K16" s="406">
        <f>SUM(H16:J16)</f>
        <v>142199</v>
      </c>
      <c r="L16" s="407">
        <f>SUM('Pt 1 Summary of Data'!O$25:O$28,'Pt 1 Summary of Data'!O$30,'Pt 1 Summary of Data'!O$34:O$35)+IF('Company Information'!$C$15="No",IF(MAX('Pt 1 Summary of Data'!O$31:O$32)=0,MIN('Pt 1 Summary of Data'!O$31:O$32),MAX('Pt 1 Summary of Data'!O$31:O$32)),SUM('Pt 1 Summary of Data'!O$31:O$32))</f>
        <v>0</v>
      </c>
      <c r="M16" s="403">
        <v>217644</v>
      </c>
      <c r="N16" s="404">
        <v>4253773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2187466</v>
      </c>
      <c r="P16" s="406">
        <f>SUM(M16:O16)</f>
        <v>6658883</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1231956</v>
      </c>
      <c r="D17" s="406">
        <f>D$15-D$16+IF(AND(OR('Company Information'!$C$12="District of Columbia",'Company Information'!$C$12="Massachusetts",'Company Information'!$C$12="Vermont"),SUM($C$6:$F$11,$C$15:$F$16,$C$38:$D$38)&lt;&gt;0),I$15-I$16,0)</f>
        <v>269184</v>
      </c>
      <c r="E17" s="406">
        <f>E$15-E$16+IF(AND(OR('Company Information'!$C$12="District of Columbia",'Company Information'!$C$12="Massachusetts",'Company Information'!$C$12="Vermont"),SUM($C$6:$F$11,$C$15:$F$16,$C$38:$D$38)&lt;&gt;0),J$15-J$16,0)</f>
        <v>-8152</v>
      </c>
      <c r="F17" s="406">
        <f>F$15-F$16+IF(AND(OR('Company Information'!$C$12="District of Columbia",'Company Information'!$C$12="Massachusetts",'Company Information'!$C$12="Vermont"),SUM($C$6:$F$11,$C$15:$F$16,$C$38:$D$38)&lt;&gt;0),K$15-K$16,0)</f>
        <v>1492988</v>
      </c>
      <c r="G17" s="456"/>
      <c r="H17" s="405">
        <f>H$15-H$16+IF(AND(OR('Company Information'!$C$12="District of Columbia",'Company Information'!$C$12="Massachusetts",'Company Information'!$C$12="Vermont"),SUM($H$6:$K$11,$H$15:$K$16,$H$38:$I$38)&lt;&gt;0),C$15-C$16,0)</f>
        <v>1231956</v>
      </c>
      <c r="I17" s="406">
        <f>I$15-I$16+IF(AND(OR('Company Information'!$C$12="District of Columbia",'Company Information'!$C$12="Massachusetts",'Company Information'!$C$12="Vermont"),SUM($H$6:$K$11,$H$15:$K$16,$H$38:$I$38)&lt;&gt;0),D$15-D$16,0)</f>
        <v>269184</v>
      </c>
      <c r="J17" s="406">
        <f>J$15-J$16+IF(AND(OR('Company Information'!$C$12="District of Columbia",'Company Information'!$C$12="Massachusetts",'Company Information'!$C$12="Vermont"),SUM($H$6:$K$11,$H$15:$K$16,$H$38:$I$38)&lt;&gt;0),E$15-E$16,0)</f>
        <v>-8152</v>
      </c>
      <c r="K17" s="406">
        <f>K$15-K$16+IF(AND(OR('Company Information'!$C$12="District of Columbia",'Company Information'!$C$12="Massachusetts",'Company Information'!$C$12="Vermont"),SUM($H$6:$K$11,$H$15:$K$16,$H$38:$I$38)&lt;&gt;0),F$15-F$16,0)</f>
        <v>1492988</v>
      </c>
      <c r="L17" s="456"/>
      <c r="M17" s="405">
        <f>M$15-M$16</f>
        <v>42711689</v>
      </c>
      <c r="N17" s="406">
        <f>N$15-N$16</f>
        <v>23578338</v>
      </c>
      <c r="O17" s="406">
        <f>O$15-O$16</f>
        <v>29986799</v>
      </c>
      <c r="P17" s="406">
        <f>P$15-P$16</f>
        <v>96276826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279.5</v>
      </c>
      <c r="G38" s="454"/>
      <c r="H38" s="410">
        <v>231.75</v>
      </c>
      <c r="I38" s="411">
        <v>46.75</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279.5</v>
      </c>
      <c r="L38" s="454"/>
      <c r="M38" s="410">
        <v>11254.355</v>
      </c>
      <c r="N38" s="411">
        <v>6821.1941999999999</v>
      </c>
      <c r="O38" s="438">
        <f>('Pt 1 Summary of Data'!Q$59+'Pt 1 Summary of Data'!S$59-'Pt 1 Summary of Data'!T$59)/12</f>
        <v>6561.25</v>
      </c>
      <c r="P38" s="438">
        <f>SUM(M$38:O$38)</f>
        <v>24636.799200000001</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1.6242133866666668E-2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1.6242133866666668E-2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0.83484837136737911</v>
      </c>
      <c r="N45" s="442">
        <f>IF(OR(N$38&lt;1000,N$17&lt;=0),"",N$12/N$17)</f>
        <v>0.82074762860724115</v>
      </c>
      <c r="O45" s="442">
        <f>IF(OR(O$38&lt;1000,O$17&lt;=0),"",O$12/O$17)</f>
        <v>0.93146504233412841</v>
      </c>
      <c r="P45" s="442">
        <f>IF(OR(P$38&lt;1000,P$17&lt;=0),"",P$12/P$17)</f>
        <v>0.86148772706736298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1.6242133866666668E-2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0.878</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0.89</v>
      </c>
      <c r="E50" s="413">
        <v>0.88</v>
      </c>
      <c r="F50" s="413">
        <v>0.88</v>
      </c>
      <c r="G50" s="454"/>
      <c r="H50" s="412">
        <v>0.8</v>
      </c>
      <c r="I50" s="413">
        <v>0.89</v>
      </c>
      <c r="J50" s="413">
        <v>0.88</v>
      </c>
      <c r="K50" s="413">
        <v>0.88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0.878</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29986799</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6148</v>
      </c>
      <c r="I56" s="447"/>
      <c r="J56" s="447"/>
      <c r="K56" s="447"/>
      <c r="L56" s="453"/>
      <c r="M56" s="403">
        <v>58201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2251</v>
      </c>
      <c r="I57" s="447"/>
      <c r="J57" s="447"/>
      <c r="K57" s="447"/>
      <c r="L57" s="453"/>
      <c r="M57" s="403">
        <v>21211</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3347</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