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K15" i="10" l="1"/>
  <c r="K37" i="10"/>
  <c r="P15" i="10"/>
  <c r="P17" i="10" s="1"/>
  <c r="O17" i="10"/>
  <c r="P37" i="10"/>
  <c r="T37" i="10"/>
  <c r="X6" i="10"/>
  <c r="T15" i="10"/>
  <c r="X37" i="10"/>
  <c r="F37" i="10"/>
  <c r="AB37" i="10"/>
  <c r="S6" i="10"/>
  <c r="AA6" i="10"/>
  <c r="F15" i="10"/>
  <c r="G29" i="10"/>
  <c r="C12" i="10"/>
  <c r="F6" i="10"/>
  <c r="E17" i="10" s="1"/>
  <c r="E44" i="10" s="1"/>
  <c r="G20" i="10"/>
  <c r="P6" i="10"/>
  <c r="L20" i="10"/>
  <c r="J6" i="10"/>
  <c r="L29" i="10"/>
  <c r="L25" i="10"/>
  <c r="L21" i="10"/>
  <c r="L28" i="10"/>
  <c r="J7" i="10"/>
  <c r="K7" i="10" s="1"/>
  <c r="M44" i="10"/>
  <c r="S7" i="10"/>
  <c r="T7" i="10" s="1"/>
  <c r="Z45" i="10"/>
  <c r="AA15" i="10"/>
  <c r="E7" i="10"/>
  <c r="F7" i="10" s="1"/>
  <c r="L19" i="10"/>
  <c r="L24" i="10" s="1"/>
  <c r="L23" i="10" s="1"/>
  <c r="O7" i="10"/>
  <c r="P7" i="10" s="1"/>
  <c r="W15" i="10"/>
  <c r="G7" i="10"/>
  <c r="G21" i="10" s="1"/>
  <c r="L27" i="10" l="1"/>
  <c r="T51" i="10"/>
  <c r="T52" i="10" s="1"/>
  <c r="F11" i="16" s="1"/>
  <c r="T46" i="10"/>
  <c r="T38" i="10"/>
  <c r="T45" i="10"/>
  <c r="T47" i="10" s="1"/>
  <c r="T50" i="10" s="1"/>
  <c r="T41" i="10"/>
  <c r="K51" i="10"/>
  <c r="K52" i="10" s="1"/>
  <c r="D11" i="16" s="1"/>
  <c r="K46" i="10"/>
  <c r="K44" i="10"/>
  <c r="K47" i="10" s="1"/>
  <c r="K50" i="10" s="1"/>
  <c r="K41" i="10"/>
  <c r="T6" i="10"/>
  <c r="S17" i="10" s="1"/>
  <c r="S45" i="10" s="1"/>
  <c r="Q17" i="10"/>
  <c r="S13" i="10"/>
  <c r="R17" i="10"/>
  <c r="R45" i="10" s="1"/>
  <c r="Q13" i="10"/>
  <c r="R13" i="10"/>
  <c r="J12" i="10"/>
  <c r="K6" i="10"/>
  <c r="J17" i="10" s="1"/>
  <c r="J44" i="10" s="1"/>
  <c r="I17" i="10"/>
  <c r="I44" i="10" s="1"/>
  <c r="H12" i="10"/>
  <c r="I12" i="10"/>
  <c r="G19" i="10"/>
  <c r="G24" i="10" s="1"/>
  <c r="G23" i="10" s="1"/>
  <c r="G27" i="10" s="1"/>
  <c r="D12" i="10"/>
  <c r="C17" i="10"/>
  <c r="G25" i="10"/>
  <c r="F17" i="10"/>
  <c r="AB45" i="10"/>
  <c r="AB47" i="10" s="1"/>
  <c r="AB50" i="10" s="1"/>
  <c r="AB41" i="10"/>
  <c r="AB51" i="10"/>
  <c r="AB52" i="10" s="1"/>
  <c r="H11" i="16" s="1"/>
  <c r="AB46" i="10"/>
  <c r="AB38" i="10"/>
  <c r="AA13" i="10"/>
  <c r="AB6" i="10"/>
  <c r="AB13" i="10" s="1"/>
  <c r="F51" i="10"/>
  <c r="F52" i="10" s="1"/>
  <c r="C11" i="16" s="1"/>
  <c r="F46" i="10"/>
  <c r="F44" i="10"/>
  <c r="F47" i="10" s="1"/>
  <c r="F50" i="10" s="1"/>
  <c r="F41" i="10"/>
  <c r="D17" i="10"/>
  <c r="D44" i="10" s="1"/>
  <c r="T17" i="10"/>
  <c r="X15" i="10"/>
  <c r="AA17" i="10"/>
  <c r="AA45" i="10" s="1"/>
  <c r="AB15" i="10"/>
  <c r="AB17" i="10" s="1"/>
  <c r="G28" i="10"/>
  <c r="O12" i="10"/>
  <c r="P12" i="10" s="1"/>
  <c r="P44" i="10" s="1"/>
  <c r="E12" i="10"/>
  <c r="X41" i="10"/>
  <c r="X51" i="10"/>
  <c r="X52" i="10" s="1"/>
  <c r="G11" i="16" s="1"/>
  <c r="X46" i="10"/>
  <c r="X38" i="10"/>
  <c r="P51" i="10"/>
  <c r="K17" i="10"/>
  <c r="G26" i="10" l="1"/>
  <c r="G30" i="10" s="1"/>
  <c r="G31" i="10"/>
  <c r="G32" i="10" s="1"/>
  <c r="G33" i="10" s="1"/>
  <c r="X17" i="10"/>
  <c r="X45" i="10" s="1"/>
  <c r="X47" i="10" s="1"/>
  <c r="X50" i="10" s="1"/>
  <c r="U17" i="10"/>
  <c r="W13" i="10"/>
  <c r="V17" i="10"/>
  <c r="V45" i="10" s="1"/>
  <c r="U13" i="10"/>
  <c r="Q45" i="10"/>
  <c r="T13" i="10"/>
  <c r="L31" i="10"/>
  <c r="L32" i="10" s="1"/>
  <c r="L33" i="10" s="1"/>
  <c r="L26" i="10"/>
  <c r="L30" i="10" s="1"/>
  <c r="O44" i="10"/>
  <c r="P38" i="10" s="1"/>
  <c r="P41" i="10" s="1"/>
  <c r="P46" i="10" s="1"/>
  <c r="P47" i="10" s="1"/>
  <c r="P50" i="10" s="1"/>
  <c r="P52" i="10" s="1"/>
  <c r="E11" i="16" s="1"/>
  <c r="F12" i="10"/>
  <c r="C44" i="10"/>
  <c r="F38" i="10" s="1"/>
  <c r="W17" i="10"/>
  <c r="W45" i="10" s="1"/>
  <c r="H17" i="10"/>
  <c r="V13" i="10"/>
  <c r="H44" i="10" l="1"/>
  <c r="K38" i="10" s="1"/>
  <c r="K12" i="10"/>
  <c r="U45" i="10"/>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<sst xmlns="http://schemas.openxmlformats.org/spreadsheetml/2006/main" count="568" uniqueCount="506">
  <si>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</si>
  <si>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</si>
  <si>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</si>
  <si>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</si>
  <si>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</si>
  <si>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</si>
  <si>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</si>
  <si>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</si>
  <si>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</si>
  <si>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</si>
  <si>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</si>
  <si>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</si>
  <si>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</si>
  <si>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</si>
  <si>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</si>
  <si>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</si>
  <si>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</si>
  <si>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</si>
  <si>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</si>
  <si>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</si>
  <si>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</si>
  <si>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</si>
  <si>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</si>
  <si>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</si>
  <si>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</si>
  <si>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</si>
  <si>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</si>
  <si>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</si>
  <si>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</si>
  <si>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</si>
  <si>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</si>
  <si>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</si>
  <si>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</si>
  <si>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</si>
  <si>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</si>
  <si>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</si>
  <si>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</si>
  <si>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</si>
  <si>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</si>
  <si>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</si>
  <si>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</si>
  <si>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</si>
  <si>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</si>
  <si>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</si>
  <si>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</si>
  <si>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</si>
  <si>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</si>
  <si>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</si>
  <si>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</si>
  <si>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</si>
  <si>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</si>
  <si>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</si>
  <si>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</si>
  <si>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</si>
  <si>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</si>
  <si>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</si>
  <si>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</si>
  <si>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</si>
  <si>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</si>
  <si>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</si>
  <si>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</si>
  <si>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</si>
  <si>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</si>
  <si>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</si>
  <si>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</si>
  <si>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</si>
  <si>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</si>
  <si>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</si>
  <si>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</si>
  <si>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</si>
  <si>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</si>
  <si>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</si>
  <si>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</si>
  <si>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</si>
  <si>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</si>
  <si>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</si>
  <si>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</si>
  <si>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</si>
  <si>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</si>
  <si>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</si>
  <si>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</si>
  <si>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</si>
  <si>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</si>
  <si>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</si>
  <si>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</si>
  <si>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</si>
  <si>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</si>
  <si>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</si>
  <si>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</si>
  <si>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</si>
  <si>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</si>
  <si>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</si>
  <si>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</si>
  <si>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</si>
  <si>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</si>
  <si>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</si>
  <si>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</si>
  <si>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</si>
  <si>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</si>
  <si>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</si>
  <si>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</si>
  <si>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</si>
  <si>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</si>
  <si>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</si>
  <si>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</si>
  <si>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</si>
  <si>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</si>
  <si>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</si>
  <si>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</si>
  <si>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</si>
  <si>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</si>
  <si>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</si>
  <si>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</si>
  <si>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</si>
  <si>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</si>
  <si>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</si>
  <si>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</si>
  <si>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</si>
  <si>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</si>
  <si>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</si>
  <si>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</si>
  <si>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</si>
  <si>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</si>
  <si>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</si>
  <si>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</si>
  <si>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</si>
  <si>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</si>
  <si>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</si>
  <si>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</si>
  <si>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</si>
  <si>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</si>
  <si>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</si>
  <si>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</si>
  <si>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</si>
  <si>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</si>
  <si>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</si>
  <si>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</si>
  <si>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</si>
  <si>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</si>
  <si>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</si>
  <si>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</si>
  <si>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</si>
  <si>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</si>
  <si>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</si>
  <si>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</si>
  <si>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</si>
  <si>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</si>
  <si>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</si>
  <si>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</si>
  <si>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</si>
  <si>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</si>
  <si>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</si>
  <si>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</si>
  <si>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</si>
  <si>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</si>
  <si>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</si>
  <si>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</si>
  <si>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</si>
  <si>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</si>
  <si>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</si>
  <si>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</si>
  <si>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</si>
  <si>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</si>
  <si>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</si>
  <si>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</si>
  <si>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</si>
  <si>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</si>
  <si>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</si>
  <si>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</si>
  <si>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</si>
  <si>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</si>
  <si>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</si>
  <si>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</si>
  <si>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</si>
  <si>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</si>
  <si>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</si>
  <si>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</si>
  <si>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</si>
  <si>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</si>
  <si>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</si>
  <si>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</si>
  <si>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</si>
  <si>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</si>
  <si>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</si>
  <si>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</si>
  <si>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</si>
  <si>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</si>
  <si>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</si>
  <si>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</si>
  <si>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</si>
  <si>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</si>
  <si>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</si>
  <si>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</si>
  <si>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</si>
  <si>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</si>
  <si>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</si>
  <si>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</si>
  <si>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</si>
  <si>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</si>
  <si>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</si>
  <si>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</si>
  <si>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</si>
  <si>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</si>
  <si>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</si>
  <si>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</si>
  <si>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</si>
  <si>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</si>
  <si>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</si>
  <si>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</si>
  <si>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</si>
  <si>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</si>
  <si>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</si>
  <si>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</si>
  <si>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</si>
  <si>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</si>
  <si>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</si>
  <si>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</si>
  <si>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</si>
  <si>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</si>
  <si>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</si>
  <si>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</si>
  <si>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</si>
  <si>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</si>
  <si>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</si>
  <si>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</si>
  <si>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</si>
  <si>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</si>
  <si>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</si>
  <si>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</si>
  <si>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</si>
  <si>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</si>
  <si>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</si>
  <si>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</si>
  <si>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</si>
  <si>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</si>
  <si>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</si>
  <si>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</si>
  <si>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</si>
  <si>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</si>
  <si>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</si>
  <si>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</si>
  <si>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</si>
  <si>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</si>
  <si>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</si>
  <si>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</si>
  <si>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</si>
  <si>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</si>
  <si>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</si>
  <si>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</si>
  <si>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</si>
  <si>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</si>
  <si>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</si>
  <si>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</si>
  <si>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</si>
  <si>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</si>
  <si>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</si>
  <si>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</si>
  <si>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</si>
  <si>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</si>
  <si>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</si>
  <si>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</si>
  <si>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</si>
  <si>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</si>
  <si>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</si>
  <si>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</si>
  <si>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</si>
  <si>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</si>
  <si>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</si>
  <si>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</si>
  <si>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</si>
  <si>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</si>
  <si>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</si>
  <si>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</si>
  <si>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</si>
  <si>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</si>
  <si>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</si>
  <si>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</si>
  <si>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</si>
  <si>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</si>
  <si>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</si>
  <si>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</si>
  <si>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</si>
  <si>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</si>
  <si>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</si>
  <si>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</si>
  <si>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</si>
  <si>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</si>
  <si>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</si>
  <si>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</si>
  <si>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</si>
  <si>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</si>
  <si>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</si>
  <si>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</si>
  <si>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</si>
  <si>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</si>
  <si>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</si>
  <si>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</si>
  <si>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</si>
  <si>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</si>
  <si>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</si>
  <si>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</si>
  <si>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</si>
  <si>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</si>
  <si>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</si>
  <si>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</si>
  <si>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</si>
  <si>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</si>
  <si>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</si>
  <si>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</si>
  <si>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</si>
  <si>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</si>
  <si>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</si>
  <si>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</si>
  <si>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</si>
  <si>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</si>
  <si>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</si>
  <si>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</si>
  <si>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</si>
  <si>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</si>
  <si>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</si>
  <si>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</si>
  <si>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</si>
  <si>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</si>
  <si>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</si>
  <si>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</si>
  <si>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</si>
  <si>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</si>
  <si>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</si>
  <si>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</si>
  <si>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</si>
  <si>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</si>
  <si>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</si>
  <si>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</si>
  <si>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</si>
  <si>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</si>
  <si>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</si>
  <si>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</si>
  <si>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</si>
  <si>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</si>
  <si>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</si>
  <si>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</si>
  <si>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</si>
  <si>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</si>
  <si>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</si>
  <si>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</si>
  <si>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</si>
  <si>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</si>
  <si>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</si>
  <si>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</si>
  <si>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</si>
  <si>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</si>
  <si>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</si>
  <si>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</si>
  <si>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</si>
  <si>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</si>
  <si>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</si>
  <si>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</si>
  <si>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</si>
  <si>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</si>
  <si>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</si>
  <si>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</si>
  <si>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</si>
  <si>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</si>
  <si>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</si>
  <si>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</si>
  <si>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</si>
  <si>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</si>
  <si>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</si>
  <si>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</si>
  <si>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</si>
  <si>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</si>
  <si>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</si>
  <si>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</si>
  <si>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</si>
  <si>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</si>
  <si>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</si>
  <si>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</si>
  <si>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</si>
  <si>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</si>
  <si>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</si>
  <si>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</si>
  <si>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</si>
  <si>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</si>
  <si>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</si>
  <si>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</si>
  <si>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</si>
  <si>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</si>
  <si>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</si>
  <si>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</si>
  <si>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</si>
  <si>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</si>
  <si>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</si>
  <si>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</si>
  <si>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</si>
  <si>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</si>
  <si>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</si>
  <si>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</si>
  <si>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</si>
  <si>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</si>
  <si>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</si>
  <si>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</si>
  <si>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</si>
  <si>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</si>
  <si>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</si>
  <si>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</si>
  <si>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</si>
  <si>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</si>
  <si>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</si>
  <si>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</si>
  <si>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</si>
  <si>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</si>
  <si>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</si>
  <si>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</si>
  <si>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</si>
  <si>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</si>
  <si>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</si>
  <si>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</si>
  <si>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</si>
  <si>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</si>
  <si>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</si>
  <si>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</si>
  <si>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</si>
  <si>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</si>
  <si>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</si>
  <si>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</si>
  <si>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</si>
  <si>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</si>
  <si>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</si>
  <si>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</si>
  <si>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</si>
  <si>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</si>
  <si>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</si>
  <si>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</si>
  <si>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</si>
  <si>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</si>
  <si>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</si>
  <si>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</si>
  <si>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</si>
  <si>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</si>
  <si>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</si>
  <si>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</si>
  <si>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</si>
  <si>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</si>
  <si>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</si>
  <si>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</si>
  <si>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</si>
  <si>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</si>
  <si>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</si>
  <si>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</si>
  <si>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</si>
  <si>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</si>
  <si>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</si>
  <si>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</si>
  <si>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</si>
  <si>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</si>
  <si>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</si>
  <si>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</si>
  <si>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</si>
  <si>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</si>
  <si>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</si>
  <si>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</si>
  <si>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</si>
  <si>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</si>
  <si>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</si>
  <si>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</si>
  <si>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</si>
  <si>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</si>
  <si>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</si>
  <si>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</si>
  <si>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</si>
  <si>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</si>
  <si>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</si>
  <si>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</si>
  <si>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</si>
  <si>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</si>
  <si>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</si>
  <si>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</si>
  <si>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</si>
  <si>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</si>
  <si>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</si>
  <si>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</si>
  <si>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</si>
  <si>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</si>
  <si>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</si>
  <si>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</si>
  <si>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</si>
  <si>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</si>
  <si>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</si>
  <si>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</si>
  <si>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</si>
  <si>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</si>
  <si>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</si>
  <si>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</si>
  <si>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</si>
  <si>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</si>
  <si>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</si>
  <si>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</si>
  <si>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</si>
  <si>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</si>
  <si>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</si>
  <si>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</si>
  <si>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</si>
  <si>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</si>
  <si>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67495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</si>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</sst>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826</v>
      </c>
      <c r="K5" s="112">
        <f>'Pt 2 Premium and Claims'!K5+'Pt 2 Premium and Claims'!K6-'Pt 2 Premium and Claims'!K7-'Pt 2 Premium and Claims'!K13+'Pt 2 Premium and Claims'!K14+'Pt 2 Premium and Claims'!K15+'Pt 2 Premium and Claims'!K16+'Pt 2 Premium and Claims'!K17</f>
        <v>826</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24899443</v>
      </c>
      <c r="Q5" s="112">
        <f>'Pt 2 Premium and Claims'!Q5+'Pt 2 Premium and Claims'!Q6-'Pt 2 Premium and Claims'!Q7-'Pt 2 Premium and Claims'!Q13+'Pt 2 Premium and Claims'!Q14</f>
        <v>24900450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64389050</v>
      </c>
      <c r="AT5" s="113">
        <f>'Pt 2 Premium and Claims'!AT5+'Pt 2 Premium and Claims'!AT6-'Pt 2 Premium and Claims'!AT7-'Pt 2 Premium and Claims'!AT13+'Pt 2 Premium and Claims'!AT14</f>
        <v>31217113</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-1</v>
      </c>
      <c r="K7" s="116">
        <f>J7</f>
        <v>-1</v>
      </c>
      <c r="L7" s="116"/>
      <c r="M7" s="116"/>
      <c r="N7" s="116"/>
      <c r="O7" s="115">
        <v>0</v>
      </c>
      <c r="P7" s="115">
        <v>-26992</v>
      </c>
      <c r="Q7" s="116">
        <f>P7</f>
        <v>-26992</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-35758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40415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-149</v>
      </c>
      <c r="E12" s="112">
        <f>'Pt 2 Premium and Claims'!E54</f>
        <v>0</v>
      </c>
      <c r="F12" s="112"/>
      <c r="G12" s="112"/>
      <c r="H12" s="112"/>
      <c r="I12" s="111">
        <f>'Pt 2 Premium and Claims'!I54</f>
        <v>0</v>
      </c>
      <c r="J12" s="111">
        <f>'Pt 2 Premium and Claims'!J54</f>
        <v>1077</v>
      </c>
      <c r="K12" s="112">
        <f>'Pt 2 Premium and Claims'!K54</f>
        <v>1021</v>
      </c>
      <c r="L12" s="112"/>
      <c r="M12" s="112"/>
      <c r="N12" s="112"/>
      <c r="O12" s="111">
        <f>'Pt 2 Premium and Claims'!O54</f>
        <v>0</v>
      </c>
      <c r="P12" s="111">
        <f>'Pt 2 Premium and Claims'!P54</f>
        <v>18442929</v>
      </c>
      <c r="Q12" s="112">
        <f>'Pt 2 Premium and Claims'!Q54</f>
        <v>17963130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55900002</v>
      </c>
      <c r="AT12" s="113">
        <f>'Pt 2 Premium and Claims'!AT54</f>
        <v>21846402</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3883004</v>
      </c>
      <c r="Q13" s="116">
        <v>3849808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72918102</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560628</v>
      </c>
      <c r="Q14" s="116">
        <v>149444</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19806555</v>
      </c>
      <c r="AT14" s="119">
        <v>59766</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11525</v>
      </c>
      <c r="Q15" s="116">
        <v>10741</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-777506</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-389</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48</v>
      </c>
      <c r="E25" s="116">
        <f>D25</f>
        <v>48</v>
      </c>
      <c r="F25" s="116"/>
      <c r="G25" s="116"/>
      <c r="H25" s="116"/>
      <c r="I25" s="115">
        <v>0</v>
      </c>
      <c r="J25" s="115">
        <v>426847</v>
      </c>
      <c r="K25" s="116">
        <f>J25</f>
        <v>426847</v>
      </c>
      <c r="L25" s="116"/>
      <c r="M25" s="116"/>
      <c r="N25" s="116"/>
      <c r="O25" s="115">
        <v>0</v>
      </c>
      <c r="P25" s="115">
        <v>1242393</v>
      </c>
      <c r="Q25" s="116">
        <f>P25</f>
        <v>1242393</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996604</v>
      </c>
      <c r="AT25" s="119">
        <v>1984582</v>
      </c>
      <c r="AU25" s="119">
        <v>0</v>
      </c>
      <c r="AV25" s="119">
        <v>-36395865</v>
      </c>
      <c r="AW25" s="324"/>
    </row>
    <row r="26" spans="1:49" s="11" customFormat="1" x14ac:dyDescent="0.2">
      <c r="A26" s="41"/>
      <c r="B26" s="164" t="s">
        <v>243</v>
      </c>
      <c r="C26" s="68"/>
      <c r="D26" s="115">
        <v>11</v>
      </c>
      <c r="E26" s="116">
        <f>D26</f>
        <v>11</v>
      </c>
      <c r="F26" s="116"/>
      <c r="G26" s="116"/>
      <c r="H26" s="116"/>
      <c r="I26" s="115">
        <v>0</v>
      </c>
      <c r="J26" s="115">
        <v>0</v>
      </c>
      <c r="K26" s="116">
        <f>J26</f>
        <v>0</v>
      </c>
      <c r="L26" s="116"/>
      <c r="M26" s="116"/>
      <c r="N26" s="116"/>
      <c r="O26" s="115">
        <v>0</v>
      </c>
      <c r="P26" s="115">
        <v>7557</v>
      </c>
      <c r="Q26" s="116">
        <f>P26</f>
        <v>7557</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284813</v>
      </c>
      <c r="Q27" s="116">
        <f>P27</f>
        <v>284813</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1002687</v>
      </c>
      <c r="AT27" s="119">
        <v>245362</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49178</v>
      </c>
      <c r="Q28" s="116">
        <f>P28</f>
        <v>49178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53410</v>
      </c>
      <c r="AT28" s="119">
        <v>39450</v>
      </c>
      <c r="AU28" s="119">
        <v>0</v>
      </c>
      <c r="AV28" s="119">
        <v>3663174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3</v>
      </c>
      <c r="K30" s="116">
        <f>J30</f>
        <v>3</v>
      </c>
      <c r="L30" s="116"/>
      <c r="M30" s="116"/>
      <c r="N30" s="116"/>
      <c r="O30" s="115">
        <v>0</v>
      </c>
      <c r="P30" s="115">
        <v>76268</v>
      </c>
      <c r="Q30" s="116">
        <f>P30</f>
        <v>76268</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94392</v>
      </c>
      <c r="AU30" s="119">
        <v>0</v>
      </c>
      <c r="AV30" s="119">
        <v>113974</v>
      </c>
      <c r="AW30" s="324"/>
    </row>
    <row r="31" spans="1:49" x14ac:dyDescent="0.2">
      <c r="B31" s="164" t="s">
        <v>248</v>
      </c>
      <c r="C31" s="68"/>
      <c r="D31" s="115">
        <v>0</v>
      </c>
      <c r="E31" s="116">
        <f>D31</f>
        <v>0</v>
      </c>
      <c r="F31" s="116"/>
      <c r="G31" s="116"/>
      <c r="H31" s="116"/>
      <c r="I31" s="115">
        <v>0</v>
      </c>
      <c r="J31" s="115">
        <v>14</v>
      </c>
      <c r="K31" s="116">
        <f>J31</f>
        <v>14</v>
      </c>
      <c r="L31" s="116"/>
      <c r="M31" s="116"/>
      <c r="N31" s="116"/>
      <c r="O31" s="115">
        <v>0</v>
      </c>
      <c r="P31" s="115">
        <v>432913</v>
      </c>
      <c r="Q31" s="116">
        <f>P31</f>
        <v>432913</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537966</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216862</v>
      </c>
      <c r="Q34" s="116">
        <f>P34</f>
        <v>216862</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442</v>
      </c>
      <c r="Q35" s="116">
        <f>P35</f>
        <v>442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55</v>
      </c>
      <c r="AU35" s="119">
        <v>0</v>
      </c>
      <c r="AV35" s="119">
        <v>3711</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12155</v>
      </c>
      <c r="Q37" s="124">
        <v>11949</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1340349</v>
      </c>
      <c r="AT37" s="125">
        <v>536</v>
      </c>
      <c r="AU37" s="125">
        <v>0</v>
      </c>
      <c r="AV37" s="125">
        <v>4468421</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2669</v>
      </c>
      <c r="Q38" s="116">
        <v>2648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47</v>
      </c>
      <c r="AU38" s="119">
        <v>0</v>
      </c>
      <c r="AV38" s="119">
        <v>362597</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20421</v>
      </c>
      <c r="Q39" s="116">
        <v>18975</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514</v>
      </c>
      <c r="AU39" s="119">
        <v>0</v>
      </c>
      <c r="AV39" s="119">
        <v>126486</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4383</v>
      </c>
      <c r="Q40" s="116">
        <v>4366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536</v>
      </c>
      <c r="AU40" s="119">
        <v>0</v>
      </c>
      <c r="AV40" s="119">
        <v>760205</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9169</v>
      </c>
      <c r="Q41" s="116">
        <v>9165</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5</v>
      </c>
      <c r="AT41" s="119">
        <v>2426</v>
      </c>
      <c r="AU41" s="119">
        <v>0</v>
      </c>
      <c r="AV41" s="119">
        <v>1777334</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2209</v>
      </c>
      <c r="Q42" s="116">
        <f>P42</f>
        <v>2209</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5</v>
      </c>
      <c r="AU42" s="119">
        <v>0</v>
      </c>
      <c r="AV42" s="119">
        <v>308278</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628198</v>
      </c>
      <c r="Q44" s="124">
        <v>600503</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13919</v>
      </c>
      <c r="AU44" s="125">
        <v>0</v>
      </c>
      <c r="AV44" s="125">
        <v>18185423</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6018</v>
      </c>
      <c r="Q45" s="116">
        <f>P45</f>
        <v>6018</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2705</v>
      </c>
      <c r="AT45" s="119">
        <v>4019</v>
      </c>
      <c r="AU45" s="119">
        <v>0</v>
      </c>
      <c r="AV45" s="119">
        <v>27512</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68926</v>
      </c>
      <c r="Q46" s="116">
        <f>P46</f>
        <v>68926</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77247</v>
      </c>
      <c r="AU46" s="119">
        <v>0</v>
      </c>
      <c r="AV46" s="119">
        <v>6215895</v>
      </c>
      <c r="AW46" s="324"/>
    </row>
    <row r="47" spans="1:49" x14ac:dyDescent="0.2">
      <c r="B47" s="167" t="s">
        <v>264</v>
      </c>
      <c r="C47" s="68" t="s">
        <v>21</v>
      </c>
      <c r="D47" s="115">
        <v>0</v>
      </c>
      <c r="E47" s="116">
        <f>D47</f>
        <v>0</v>
      </c>
      <c r="F47" s="116"/>
      <c r="G47" s="116"/>
      <c r="H47" s="116"/>
      <c r="I47" s="115">
        <v>0</v>
      </c>
      <c r="J47" s="115">
        <v>1023</v>
      </c>
      <c r="K47" s="116">
        <f>J47</f>
        <v>1023</v>
      </c>
      <c r="L47" s="116"/>
      <c r="M47" s="116"/>
      <c r="N47" s="116"/>
      <c r="O47" s="115">
        <v>0</v>
      </c>
      <c r="P47" s="115">
        <v>513478</v>
      </c>
      <c r="Q47" s="116">
        <f>P47</f>
        <v>513478</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5916</v>
      </c>
      <c r="AT47" s="119">
        <v>666492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-714</v>
      </c>
      <c r="Q49" s="116">
        <f>P49</f>
        <v>-714</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-28</v>
      </c>
      <c r="AU49" s="119">
        <v>0</v>
      </c>
      <c r="AV49" s="119">
        <v>1360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2190</v>
      </c>
      <c r="Q50" s="116">
        <f>P50</f>
        <v>2190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1233</v>
      </c>
      <c r="AT50" s="119">
        <v>217</v>
      </c>
      <c r="AU50" s="119">
        <v>0</v>
      </c>
      <c r="AV50" s="119">
        <v>4722</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366817</v>
      </c>
      <c r="Q51" s="116">
        <f>P51</f>
        <v>366817</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4407634</v>
      </c>
      <c r="AT51" s="119">
        <v>1511220</v>
      </c>
      <c r="AU51" s="119">
        <v>0</v>
      </c>
      <c r="AV51" s="119">
        <v>109050423</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2472</v>
      </c>
      <c r="Q53" s="116">
        <f>P53</f>
        <v>2472</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3787</v>
      </c>
      <c r="AT53" s="119">
        <v>4240</v>
      </c>
      <c r="AU53" s="119">
        <v>0</v>
      </c>
      <c r="AV53" s="119">
        <v>385656</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41006994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1613</v>
      </c>
      <c r="Q56" s="128">
        <f>P56</f>
        <v>1613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54968</v>
      </c>
      <c r="AT56" s="129">
        <v>30488</v>
      </c>
      <c r="AU56" s="129">
        <v>0</v>
      </c>
      <c r="AV56" s="129">
        <v>570728</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3806</v>
      </c>
      <c r="Q57" s="131">
        <f>P57</f>
        <v>3806</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54987</v>
      </c>
      <c r="AT57" s="132">
        <v>65083</v>
      </c>
      <c r="AU57" s="132">
        <v>0</v>
      </c>
      <c r="AV57" s="132">
        <v>1132548</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4</v>
      </c>
      <c r="Q58" s="131">
        <f>P58</f>
        <v>4</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1</v>
      </c>
      <c r="AT58" s="132">
        <v>180</v>
      </c>
      <c r="AU58" s="132">
        <v>0</v>
      </c>
      <c r="AV58" s="132">
        <v>60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46699</v>
      </c>
      <c r="Q59" s="131">
        <v>46699</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672341</v>
      </c>
      <c r="AT59" s="132">
        <v>752098</v>
      </c>
      <c r="AU59" s="132">
        <v>0</v>
      </c>
      <c r="AV59" s="132">
        <v>13742564</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3891.5833333333335</v>
      </c>
      <c r="Q60" s="134">
        <f>Q59/12</f>
        <v>3891.5833333333335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56028.416666666664</v>
      </c>
      <c r="AT60" s="135">
        <f>AT59/12</f>
        <v>62674.833333333336</v>
      </c>
      <c r="AU60" s="135">
        <f>AU59/12</f>
        <v>0</v>
      </c>
      <c r="AV60" s="135">
        <f>AV59/12</f>
        <v>1145213.6666666667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1737645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589238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69958</v>
      </c>
      <c r="E5" s="124">
        <v>0</v>
      </c>
      <c r="F5" s="124"/>
      <c r="G5" s="136"/>
      <c r="H5" s="136"/>
      <c r="I5" s="123">
        <v>0</v>
      </c>
      <c r="J5" s="123">
        <v>753</v>
      </c>
      <c r="K5" s="124">
        <v>753</v>
      </c>
      <c r="L5" s="124"/>
      <c r="M5" s="124"/>
      <c r="N5" s="124"/>
      <c r="O5" s="123">
        <v>0</v>
      </c>
      <c r="P5" s="123">
        <v>25135510</v>
      </c>
      <c r="Q5" s="124">
        <v>24864608</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64419948</v>
      </c>
      <c r="AT5" s="125">
        <v>31318377</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8945</v>
      </c>
      <c r="Q6" s="116">
        <v>8945</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155927</v>
      </c>
      <c r="AT6" s="119">
        <v>49737</v>
      </c>
      <c r="AU6" s="119">
        <v>0</v>
      </c>
      <c r="AV6" s="317"/>
      <c r="AW6" s="324"/>
    </row>
    <row r="7" spans="2:49" x14ac:dyDescent="0.2">
      <c r="B7" s="182" t="s">
        <v>280</v>
      </c>
      <c r="C7" s="139" t="s">
        <v>9</v>
      </c>
      <c r="D7" s="115">
        <v>69958</v>
      </c>
      <c r="E7" s="116"/>
      <c r="F7" s="116"/>
      <c r="G7" s="117"/>
      <c r="H7" s="117"/>
      <c r="I7" s="115"/>
      <c r="J7" s="115">
        <v>0</v>
      </c>
      <c r="K7" s="116"/>
      <c r="L7" s="116"/>
      <c r="M7" s="116"/>
      <c r="N7" s="116"/>
      <c r="O7" s="115"/>
      <c r="P7" s="115">
        <v>251675</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183979</v>
      </c>
      <c r="AT7" s="119">
        <v>242711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1373563</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1373563</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2254815</v>
      </c>
      <c r="Q11" s="116">
        <f>Q42</f>
        <v>-252060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2506875</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-73</v>
      </c>
      <c r="K13" s="116">
        <v>-73</v>
      </c>
      <c r="L13" s="116"/>
      <c r="M13" s="116"/>
      <c r="N13" s="116"/>
      <c r="O13" s="115">
        <v>0</v>
      </c>
      <c r="P13" s="115">
        <v>-6663</v>
      </c>
      <c r="Q13" s="116">
        <v>-26897</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2846</v>
      </c>
      <c r="AT13" s="119">
        <v>-91710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17364116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64462703</v>
      </c>
      <c r="AT23" s="119">
        <v>21232366</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16749723</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64</v>
      </c>
      <c r="K26" s="294"/>
      <c r="L26" s="294"/>
      <c r="M26" s="294"/>
      <c r="N26" s="294"/>
      <c r="O26" s="298"/>
      <c r="P26" s="115">
        <v>2879751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2865373</v>
      </c>
      <c r="AT26" s="119">
        <v>2641075</v>
      </c>
      <c r="AU26" s="119">
        <v>0</v>
      </c>
      <c r="AV26" s="317"/>
      <c r="AW26" s="324"/>
    </row>
    <row r="27" spans="2:49" s="11" customFormat="1" ht="25.5" x14ac:dyDescent="0.2">
      <c r="B27" s="184" t="s">
        <v>85</v>
      </c>
      <c r="C27" s="139"/>
      <c r="D27" s="299"/>
      <c r="E27" s="116">
        <v>0</v>
      </c>
      <c r="F27" s="116"/>
      <c r="G27" s="116"/>
      <c r="H27" s="116"/>
      <c r="I27" s="115">
        <v>0</v>
      </c>
      <c r="J27" s="299"/>
      <c r="K27" s="116">
        <v>8</v>
      </c>
      <c r="L27" s="116"/>
      <c r="M27" s="116"/>
      <c r="N27" s="116"/>
      <c r="O27" s="115">
        <v>0</v>
      </c>
      <c r="P27" s="299"/>
      <c r="Q27" s="116">
        <v>275110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149</v>
      </c>
      <c r="E28" s="295"/>
      <c r="F28" s="295"/>
      <c r="G28" s="295"/>
      <c r="H28" s="295"/>
      <c r="I28" s="299"/>
      <c r="J28" s="115">
        <v>0</v>
      </c>
      <c r="K28" s="295"/>
      <c r="L28" s="295"/>
      <c r="M28" s="295"/>
      <c r="N28" s="295"/>
      <c r="O28" s="299"/>
      <c r="P28" s="115">
        <v>2718039</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2019280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42499</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50258</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1013</v>
      </c>
      <c r="K34" s="294"/>
      <c r="L34" s="294"/>
      <c r="M34" s="294"/>
      <c r="N34" s="294"/>
      <c r="O34" s="298"/>
      <c r="P34" s="115">
        <v>13643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1013</v>
      </c>
      <c r="L35" s="116"/>
      <c r="M35" s="116"/>
      <c r="N35" s="116"/>
      <c r="O35" s="115">
        <v>0</v>
      </c>
      <c r="P35" s="299"/>
      <c r="Q35" s="116">
        <f>P34</f>
        <v>13643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13597</v>
      </c>
      <c r="Q36" s="116">
        <f>P36</f>
        <v>13597</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1373563</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1373563</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2254815</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-252060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2506875</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19101</v>
      </c>
      <c r="Q45" s="116">
        <v>18958</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362459</v>
      </c>
      <c r="Q49" s="116">
        <v>202210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11428074</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138910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-149</v>
      </c>
      <c r="E54" s="121">
        <f>E24+E27+E31+E35-E36+E39+E42+E45+E46-E49+E51+E52+E53</f>
        <v>0</v>
      </c>
      <c r="F54" s="121"/>
      <c r="G54" s="121"/>
      <c r="H54" s="121"/>
      <c r="I54" s="120">
        <f>I24+I27+I31+I35-I36+I39+I42+I45+I46-I49+I51+I52+I53</f>
        <v>0</v>
      </c>
      <c r="J54" s="120">
        <f>J23+J26-J28+J30-J32+J34-J36+J38+J41-J43+J45+J46-J47-J49+J50+J51+J52+J53</f>
        <v>1077</v>
      </c>
      <c r="K54" s="121">
        <f>K24+K27+K31+K35-K36+K39+K42+K45+K46-K49+K51+K52+K53</f>
        <v>1021</v>
      </c>
      <c r="L54" s="121"/>
      <c r="M54" s="121"/>
      <c r="N54" s="121"/>
      <c r="O54" s="120">
        <f>O24+O27+O31+O35-O36+O39+O42+O45+O46-O49+O51+O52+O53</f>
        <v>0</v>
      </c>
      <c r="P54" s="120">
        <f>P23+P26-P28+P30-P32+P34-P36+P38+P41-P43+P45+P46-P47-P49+P50+P51+P52+P53</f>
        <v>18442929</v>
      </c>
      <c r="Q54" s="121">
        <f>Q24+Q27+Q31+Q35-Q36+Q39+Q42+Q45+Q46-Q49+Q51+Q52+Q53</f>
        <v>17963130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55900002</v>
      </c>
      <c r="AT54" s="122">
        <f>AT23+AT26-AT28+AT30-AT32+AT34-AT36+AT38+AT41-AT43+AT45+AT46-AT47-AT49+AT50+AT51+AT52+AT53</f>
        <v>21846402</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1988</v>
      </c>
      <c r="E5" s="352"/>
      <c r="F5" s="352"/>
      <c r="G5" s="318"/>
      <c r="H5" s="123">
        <v>0</v>
      </c>
      <c r="I5" s="124">
        <v>0</v>
      </c>
      <c r="J5" s="352"/>
      <c r="K5" s="352"/>
      <c r="L5" s="318"/>
      <c r="M5" s="123">
        <v>1505021.21</v>
      </c>
      <c r="N5" s="124">
        <v>16546433</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72</v>
      </c>
      <c r="D6" s="116">
        <v>3757</v>
      </c>
      <c r="E6" s="121">
        <f>SUM('Pt 1 Summary of Data'!E$12,'Pt 1 Summary of Data'!E$22)+SUM('Pt 1 Summary of Data'!G$12,'Pt 1 Summary of Data'!G$22)-SUM('Pt 1 Summary of Data'!H$12,'Pt 1 Summary of Data'!H$22)</f>
        <v>0</v>
      </c>
      <c r="F6" s="121">
        <f>SUM(C6:E6)</f>
        <v>3829</v>
      </c>
      <c r="G6" s="122">
        <f>'Pt 1 Summary of Data'!I12+'Pt 1 Summary of Data'!I22</f>
        <v>0</v>
      </c>
      <c r="H6" s="115">
        <v>0</v>
      </c>
      <c r="I6" s="116">
        <v>0</v>
      </c>
      <c r="J6" s="121">
        <f>'Pt 1 Summary of Data'!K12+'Pt 1 Summary of Data'!K22</f>
        <v>1021</v>
      </c>
      <c r="K6" s="121">
        <f>SUM(H6:J6)</f>
        <v>1021</v>
      </c>
      <c r="L6" s="122">
        <f>'Pt 1 Summary of Data'!O12+'Pt 1 Summary of Data'!O22</f>
        <v>0</v>
      </c>
      <c r="M6" s="115">
        <v>1535560</v>
      </c>
      <c r="N6" s="116">
        <v>16238838</v>
      </c>
      <c r="O6" s="121">
        <f>'Pt 1 Summary of Data'!Q12+'Pt 1 Summary of Data'!Q22</f>
        <v>17963130</v>
      </c>
      <c r="P6" s="121">
        <f>SUM(M6:O6)</f>
        <v>35737528</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121</v>
      </c>
      <c r="E7" s="121">
        <f>SUM('Pt 1 Summary of Data'!E37:E41)+MAX(0,MIN('Pt 1 Summary of Data'!E42,0.3%*('Pt 1 Summary of Data'!E5-SUM(E9:E11))))</f>
        <v>0</v>
      </c>
      <c r="F7" s="121">
        <f>SUM(C7:E7)</f>
        <v>121</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13575</v>
      </c>
      <c r="N7" s="116">
        <v>83909</v>
      </c>
      <c r="O7" s="121">
        <f>SUM('Pt 1 Summary of Data'!Q37:Q41)+MAX(0,MIN('Pt 1 Summary of Data'!Q42,0.3%*('Pt 1 Summary of Data'!Q5)))</f>
        <v>49312</v>
      </c>
      <c r="P7" s="121">
        <f>SUM(M7:O7)</f>
        <v>146796</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72</v>
      </c>
      <c r="D12" s="121">
        <f>SUM(D$6:D$7)+IF(AND(OR('Company Information'!$C$12="District of Columbia",'Company Information'!$C$12="Massachusetts",'Company Information'!$C$12="Vermont"),SUM($C$6:$F$11,$C$15:$F$16,$C$37:$D$37)&lt;&gt;0),SUM(I$6:I$7),0)</f>
        <v>3878</v>
      </c>
      <c r="E12" s="121">
        <f>SUM(E$6:E$7)-SUM(E$8:E$11)+IF(AND(OR('Company Information'!$C$12="District of Columbia",'Company Information'!$C$12="Massachusetts",'Company Information'!$C$12="Vermont"),SUM($C$6:$F$11,$C$15:$F$16,$C$37:$D$37)&lt;&gt;0),SUM(J$6:J$7)-SUM(J$10:J$11),0)</f>
        <v>0</v>
      </c>
      <c r="F12" s="121">
        <f>IFERROR(SUM(C$12:E$12)+C$17*MAX(0,E$49-C$49)+D$17*MAX(0,E$49-D$49),0)</f>
        <v>3950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1021</v>
      </c>
      <c r="K12" s="121">
        <f>IFERROR(SUM(H$12:J$12)+H$17*MAX(0,J$49-H$49)+I$17*MAX(0,J$49-I$49),0)</f>
        <v>1021</v>
      </c>
      <c r="L12" s="317"/>
      <c r="M12" s="120">
        <f>SUM(M$6:M$7)</f>
        <v>1549135</v>
      </c>
      <c r="N12" s="121">
        <f>SUM(N$6:N$7)</f>
        <v>16322747</v>
      </c>
      <c r="O12" s="121">
        <f>SUM(O$6:O$7)</f>
        <v>18012442</v>
      </c>
      <c r="P12" s="121">
        <f>SUM(M$12:O$12)+M$17*MAX(0,O$49-M$49)+N$17*MAX(0,O$49-N$49)</f>
        <v>35884324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11350</v>
      </c>
      <c r="E15" s="112">
        <f>SUM('Pt 1 Summary of Data'!E$5:E$7)+SUM('Pt 1 Summary of Data'!G$5:G$7)-SUM('Pt 1 Summary of Data'!H$5:H$7)-SUM(E$9:E$11)+D$55</f>
        <v>0</v>
      </c>
      <c r="F15" s="112">
        <f>SUM(C15:E15)</f>
        <v>11350</v>
      </c>
      <c r="G15" s="113">
        <f>SUM('Pt 1 Summary of Data'!I$5:I$7)-SUM(G$9:G$10)</f>
        <v>0</v>
      </c>
      <c r="H15" s="123">
        <v>0</v>
      </c>
      <c r="I15" s="124">
        <v>0</v>
      </c>
      <c r="J15" s="112">
        <f>SUM('Pt 1 Summary of Data'!K$5:K$7)+SUM('Pt 1 Summary of Data'!M$5:M$7)-SUM('Pt 1 Summary of Data'!N$5:N$7)-SUM(J$10:J$11)+I$55</f>
        <v>825</v>
      </c>
      <c r="K15" s="112">
        <f>SUM(H15:J15)</f>
        <v>825</v>
      </c>
      <c r="L15" s="113">
        <f>SUM('Pt 1 Summary of Data'!O5:O7)-L10</f>
        <v>0</v>
      </c>
      <c r="M15" s="123">
        <v>1426172</v>
      </c>
      <c r="N15" s="124">
        <v>20908159</v>
      </c>
      <c r="O15" s="112">
        <f>SUM('Pt 1 Summary of Data'!Q5:Q7)+N55</f>
        <v>24884206</v>
      </c>
      <c r="P15" s="112">
        <f>SUM(M15:O15)</f>
        <v>47218537</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2205</v>
      </c>
      <c r="E16" s="121">
        <f>'Pt 1 Summary of Data'!E25+'Pt 1 Summary of Data'!E26+'Pt 1 Summary of Data'!E27+'Pt 1 Summary of Data'!E28+'Pt 1 Summary of Data'!E30+'Pt 1 Summary of Data'!E31+'Pt 1 Summary of Data'!E34+'Pt 1 Summary of Data'!E35+'Pt 3 MLR and Rebate Calculation'!D56</f>
        <v>59</v>
      </c>
      <c r="F16" s="121">
        <f>SUM(C16:E16)</f>
        <v>2264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426864</v>
      </c>
      <c r="K16" s="121">
        <f>SUM(H16:J16)</f>
        <v>426864</v>
      </c>
      <c r="L16" s="122">
        <f>'Pt 1 Summary of Data'!O25+'Pt 1 Summary of Data'!O26+'Pt 1 Summary of Data'!O27+'Pt 1 Summary of Data'!O28+'Pt 1 Summary of Data'!O30+'Pt 1 Summary of Data'!O31+'Pt 1 Summary of Data'!O34+'Pt 1 Summary of Data'!O35</f>
        <v>0</v>
      </c>
      <c r="M16" s="115">
        <v>-35397</v>
      </c>
      <c r="N16" s="116">
        <v>802785</v>
      </c>
      <c r="O16" s="121">
        <f>'Pt 1 Summary of Data'!Q25+'Pt 1 Summary of Data'!Q26+'Pt 1 Summary of Data'!Q27+'Pt 1 Summary of Data'!Q28+'Pt 1 Summary of Data'!Q30+'Pt 1 Summary of Data'!Q31+'Pt 1 Summary of Data'!Q34+'Pt 1 Summary of Data'!Q35+'Pt 3 MLR and Rebate Calculation'!N56</f>
        <v>2314499</v>
      </c>
      <c r="P16" s="121">
        <f>SUM(M16:O16)</f>
        <v>3081887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9145</v>
      </c>
      <c r="E17" s="121">
        <f>E$15-E$16+IF(AND(OR('Company Information'!$C$12="District of Columbia",'Company Information'!$C$12="Massachusetts",'Company Information'!$C$12="Vermont"),SUM($C$6:$F$11,$C$15:$F$16,$C$37:$D$37)&lt;&gt;0),J$15-J$16,0)</f>
        <v>-59</v>
      </c>
      <c r="F17" s="121">
        <f>F$15-F$16+IF(AND(OR('Company Information'!$C$12="District of Columbia",'Company Information'!$C$12="Massachusetts",'Company Information'!$C$12="Vermont"),SUM($C$6:$F$11,$C$15:$F$16,$C$37:$D$37)&lt;&gt;0),K$15-K$16,0)</f>
        <v>9086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-426039</v>
      </c>
      <c r="K17" s="121">
        <f>K$15-K$16+IF(AND(OR('Company Information'!$C$12="District of Columbia",'Company Information'!$C$12="Massachusetts",'Company Information'!$C$12="Vermont"),SUM($H$6:$K$11,$H$15:$K$16,$H$37:$I$37)&lt;&gt;0),F$15-F$16,0)</f>
        <v>-426039</v>
      </c>
      <c r="L17" s="320"/>
      <c r="M17" s="120">
        <f>M$15-M$16</f>
        <v>1461569</v>
      </c>
      <c r="N17" s="121">
        <f>N$15-N$16</f>
        <v>20105374</v>
      </c>
      <c r="O17" s="121">
        <f>O$15-O$16</f>
        <v>22569707</v>
      </c>
      <c r="P17" s="121">
        <f>P$15-P$16</f>
        <v>44136650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6</v>
      </c>
      <c r="E37" s="262">
        <f>'Pt 1 Summary of Data'!E60</f>
        <v>0</v>
      </c>
      <c r="F37" s="262">
        <f>SUM(C37:E37)</f>
        <v>6</v>
      </c>
      <c r="G37" s="318"/>
      <c r="H37" s="127">
        <v>0</v>
      </c>
      <c r="I37" s="128">
        <v>0</v>
      </c>
      <c r="J37" s="262">
        <f>'Pt 1 Summary of Data'!K60</f>
        <v>0</v>
      </c>
      <c r="K37" s="262">
        <f>SUM(H37:J37)</f>
        <v>0</v>
      </c>
      <c r="L37" s="318"/>
      <c r="M37" s="127">
        <v>413</v>
      </c>
      <c r="N37" s="128">
        <v>3309</v>
      </c>
      <c r="O37" s="262">
        <f>'Pt 1 Summary of Data'!Q60</f>
        <v>3891.5833333333335</v>
      </c>
      <c r="P37" s="262">
        <f>SUM(M37:O37)</f>
        <v>7613.5833333333339</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3.1250116666666661E-2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3.1250116666666661E-2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0.81185990372524286</v>
      </c>
      <c r="O44" s="266">
        <f>IF(OR(O$37&lt;1000,O$17&lt;=0),"",O$12/O$17)</f>
        <v>0.79808045359206481</v>
      </c>
      <c r="P44" s="266">
        <f>IF(OR(P$37&lt;1000,P$17&lt;=0),"",P$12/P$17)</f>
        <v>0.81302781248690148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3.1250116666666661E-2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0.84399999999999997</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0.84399999999999997</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22569707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135418.24200000011</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10748</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4073</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1613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4</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135418.24200000011</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135418</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