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B38" i="10"/>
  <c r="AA38" i="10"/>
  <c r="AA16" i="10"/>
  <c r="AB16" i="10" s="1"/>
  <c r="AA13" i="10"/>
  <c r="Z17" i="10"/>
  <c r="Z46" i="10" s="1"/>
  <c r="Z13" i="10"/>
  <c r="Y46" i="10"/>
  <c r="Y17" i="10"/>
  <c r="Y13" i="10"/>
  <c r="X41" i="10"/>
  <c r="X16" i="10"/>
  <c r="W16" i="10"/>
  <c r="T41" i="10"/>
  <c r="S16" i="10"/>
  <c r="T16" i="10" s="1"/>
  <c r="P41" i="10"/>
  <c r="O38" i="10"/>
  <c r="O16" i="10"/>
  <c r="P16" i="10" s="1"/>
  <c r="N17" i="10"/>
  <c r="N45" i="10" s="1"/>
  <c r="N12" i="10"/>
  <c r="M45" i="10"/>
  <c r="M17" i="10"/>
  <c r="M12" i="10"/>
  <c r="L60" i="10"/>
  <c r="L59" i="10"/>
  <c r="L58" i="10" s="1"/>
  <c r="L36" i="10"/>
  <c r="L35" i="10"/>
  <c r="L16" i="10"/>
  <c r="L10" i="10"/>
  <c r="K41" i="10"/>
  <c r="K10" i="10"/>
  <c r="J16" i="10"/>
  <c r="K16" i="10" s="1"/>
  <c r="J11" i="10"/>
  <c r="K11" i="10" s="1"/>
  <c r="J10" i="10"/>
  <c r="G60" i="10"/>
  <c r="G59" i="10"/>
  <c r="G58" i="10" s="1"/>
  <c r="G36" i="10"/>
  <c r="G35" i="10"/>
  <c r="G16" i="10"/>
  <c r="G10" i="10"/>
  <c r="G9" i="10"/>
  <c r="G8" i="10"/>
  <c r="F41" i="10"/>
  <c r="F16" i="10"/>
  <c r="E16" i="10"/>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E7" i="10" s="1"/>
  <c r="F7" i="10" s="1"/>
  <c r="D60" i="4"/>
  <c r="D22" i="4"/>
  <c r="D12" i="4"/>
  <c r="D5" i="4"/>
  <c r="G20" i="10" l="1"/>
  <c r="F6" i="10"/>
  <c r="K6" i="10"/>
  <c r="H17" i="10" s="1"/>
  <c r="O12" i="10"/>
  <c r="P12" i="10" s="1"/>
  <c r="P6" i="10"/>
  <c r="X6" i="10"/>
  <c r="V17" i="10" s="1"/>
  <c r="V46" i="10" s="1"/>
  <c r="AB42" i="10"/>
  <c r="G15" i="10"/>
  <c r="K15" i="10"/>
  <c r="K17" i="10" s="1"/>
  <c r="P15" i="10"/>
  <c r="P17" i="10" s="1"/>
  <c r="O17" i="10"/>
  <c r="O45" i="10" s="1"/>
  <c r="X15" i="10"/>
  <c r="X17" i="10" s="1"/>
  <c r="L15" i="10"/>
  <c r="L19" i="10"/>
  <c r="T6" i="10"/>
  <c r="AB13" i="10"/>
  <c r="AB52" i="10"/>
  <c r="E15" i="10"/>
  <c r="J7" i="10"/>
  <c r="K7" i="10" s="1"/>
  <c r="O7" i="10"/>
  <c r="P7" i="10" s="1"/>
  <c r="S15" i="10"/>
  <c r="W7" i="10"/>
  <c r="X7" i="10" s="1"/>
  <c r="AA15" i="10"/>
  <c r="P38" i="10"/>
  <c r="G7" i="10"/>
  <c r="G19" i="10" s="1"/>
  <c r="H45" i="10" l="1"/>
  <c r="D17" i="10"/>
  <c r="D45" i="10" s="1"/>
  <c r="W13" i="10"/>
  <c r="G27" i="10"/>
  <c r="G23" i="10"/>
  <c r="G22" i="10"/>
  <c r="G32" i="10"/>
  <c r="G24" i="10"/>
  <c r="V13" i="10"/>
  <c r="W38" i="10"/>
  <c r="I17" i="10"/>
  <c r="I45" i="10" s="1"/>
  <c r="J38" i="10"/>
  <c r="C17" i="10"/>
  <c r="AA17" i="10"/>
  <c r="AA46" i="10" s="1"/>
  <c r="AB39" i="10" s="1"/>
  <c r="AB15" i="10"/>
  <c r="AB17" i="10" s="1"/>
  <c r="L32" i="10"/>
  <c r="L27" i="10"/>
  <c r="L23" i="10"/>
  <c r="L24" i="10"/>
  <c r="U13" i="10"/>
  <c r="U17" i="10"/>
  <c r="J12" i="10"/>
  <c r="I12" i="10"/>
  <c r="C12" i="10"/>
  <c r="P39" i="10"/>
  <c r="P52" i="10"/>
  <c r="P45" i="10"/>
  <c r="P42" i="10"/>
  <c r="T15" i="10"/>
  <c r="T17" i="10" s="1"/>
  <c r="H12" i="10"/>
  <c r="E17" i="10"/>
  <c r="F15" i="10"/>
  <c r="Q17" i="10"/>
  <c r="W17" i="10"/>
  <c r="J17" i="10"/>
  <c r="L20" i="10"/>
  <c r="Q46" i="10" l="1"/>
  <c r="AB53" i="10"/>
  <c r="H11" i="16" s="1"/>
  <c r="AB46" i="10"/>
  <c r="S38" i="10"/>
  <c r="F17" i="10"/>
  <c r="E38" i="10"/>
  <c r="E12" i="10"/>
  <c r="S17" i="10"/>
  <c r="L22" i="10"/>
  <c r="W46" i="10"/>
  <c r="X38" i="10"/>
  <c r="G21" i="10"/>
  <c r="G26" i="10" s="1"/>
  <c r="G25" i="10" s="1"/>
  <c r="G28" i="10" s="1"/>
  <c r="G30" i="10"/>
  <c r="G31" i="10" s="1"/>
  <c r="G29" i="10" s="1"/>
  <c r="G33" i="10" s="1"/>
  <c r="G34" i="10" s="1"/>
  <c r="C45" i="10"/>
  <c r="K12" i="10"/>
  <c r="R13" i="10"/>
  <c r="S13" i="10"/>
  <c r="P47" i="10"/>
  <c r="P48" i="10" s="1"/>
  <c r="P51" i="10" s="1"/>
  <c r="P53" i="10" s="1"/>
  <c r="E11" i="16" s="1"/>
  <c r="D12" i="10"/>
  <c r="F12" i="10" s="1"/>
  <c r="X13" i="10"/>
  <c r="U46" i="10"/>
  <c r="J45" i="10"/>
  <c r="K38" i="10"/>
  <c r="Q13" i="10"/>
  <c r="R17" i="10"/>
  <c r="R46" i="10" s="1"/>
  <c r="K53" i="10" l="1"/>
  <c r="D11" i="16" s="1"/>
  <c r="K39" i="10"/>
  <c r="K42" i="10"/>
  <c r="K45" i="10"/>
  <c r="K52" i="10"/>
  <c r="L21" i="10"/>
  <c r="L26" i="10" s="1"/>
  <c r="L25" i="10" s="1"/>
  <c r="L28" i="10" s="1"/>
  <c r="L30" i="10"/>
  <c r="L31" i="10" s="1"/>
  <c r="L29" i="10" s="1"/>
  <c r="L33" i="10" s="1"/>
  <c r="L34" i="10" s="1"/>
  <c r="T13" i="10"/>
  <c r="S46" i="10"/>
  <c r="T38" i="10"/>
  <c r="X53" i="10"/>
  <c r="G11" i="16" s="1"/>
  <c r="X39" i="10"/>
  <c r="X52" i="10"/>
  <c r="X46" i="10"/>
  <c r="X42" i="10"/>
  <c r="AB48" i="10"/>
  <c r="AB51" i="10" s="1"/>
  <c r="AB47" i="10"/>
  <c r="E45" i="10"/>
  <c r="F38" i="10"/>
  <c r="K47" i="10" l="1"/>
  <c r="K48" i="10"/>
  <c r="K51" i="10" s="1"/>
  <c r="F42" i="10"/>
  <c r="F53" i="10"/>
  <c r="C11" i="16" s="1"/>
  <c r="F39" i="10"/>
  <c r="F45" i="10"/>
  <c r="F52" i="10"/>
  <c r="X47" i="10"/>
  <c r="X48" i="10"/>
  <c r="X51" i="10" s="1"/>
  <c r="T42" i="10"/>
  <c r="T53" i="10"/>
  <c r="F11" i="16" s="1"/>
  <c r="T39" i="10"/>
  <c r="T52" i="10"/>
  <c r="T46" i="10"/>
  <c r="T48" i="10" l="1"/>
  <c r="T51" i="10" s="1"/>
  <c r="T47" i="10"/>
  <c r="F47" i="10"/>
  <c r="F48" i="10"/>
  <c r="F51"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<sst xmlns="http://schemas.openxmlformats.org/spreadsheetml/2006/main" count="570" uniqueCount="509">
  <si>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</si>
  <si>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</si>
  <si>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</si>
  <si>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</si>
  <si>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</si>
  <si>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</si>
  <si>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</si>
  <si>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</si>
  <si>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</si>
  <si>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</si>
  <si>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</si>
  <si>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</si>
  <si>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</si>
  <si>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</si>
  <si>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</si>
  <si>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</si>
  <si>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</si>
  <si>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</si>
  <si>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</si>
  <si>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</si>
  <si>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</si>
  <si>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</si>
  <si>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</si>
  <si>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</si>
  <si>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</si>
  <si>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</si>
  <si>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</si>
  <si>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</si>
  <si>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</si>
  <si>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</si>
  <si>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</si>
  <si>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</si>
  <si>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</si>
  <si>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</si>
  <si>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</si>
  <si>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</si>
  <si>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</si>
  <si>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</si>
  <si>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</si>
  <si>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</si>
  <si>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</si>
  <si>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</si>
  <si>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</si>
  <si>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</si>
  <si>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</si>
  <si>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</si>
  <si>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</si>
  <si>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</si>
  <si>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</si>
  <si>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</si>
  <si>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</si>
  <si>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</si>
  <si>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</si>
  <si>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</si>
  <si>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</si>
  <si>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</si>
  <si>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</si>
  <si>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</si>
  <si>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</si>
  <si>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</si>
  <si>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</si>
  <si>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</si>
  <si>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</si>
  <si>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</si>
  <si>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</si>
  <si>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</si>
  <si>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</si>
  <si>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</si>
  <si>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</si>
  <si>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</si>
  <si>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</si>
  <si>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</si>
  <si>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</si>
  <si>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</si>
  <si>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</si>
  <si>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</si>
  <si>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</si>
  <si>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</si>
  <si>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</si>
  <si>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</si>
  <si>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</si>
  <si>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</si>
  <si>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</si>
  <si>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</si>
  <si>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</si>
  <si>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</si>
  <si>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</si>
  <si>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</si>
  <si>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</si>
  <si>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</si>
  <si>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</si>
  <si>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</si>
  <si>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</si>
  <si>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</si>
  <si>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</si>
  <si>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</si>
  <si>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</si>
  <si>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</si>
  <si>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</si>
  <si>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</si>
  <si>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</si>
  <si>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</si>
  <si>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</si>
  <si>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</si>
  <si>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</si>
  <si>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</si>
  <si>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</si>
  <si>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</si>
  <si>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</si>
  <si>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</si>
  <si>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</si>
  <si>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</si>
  <si>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</si>
  <si>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</si>
  <si>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</si>
  <si>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</si>
  <si>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</si>
  <si>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</si>
  <si>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</si>
  <si>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</si>
  <si>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</si>
  <si>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</si>
  <si>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</si>
  <si>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</si>
  <si>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</si>
  <si>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</si>
  <si>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</si>
  <si>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</si>
  <si>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</si>
  <si>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</si>
  <si>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</si>
  <si>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</si>
  <si>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</si>
  <si>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</si>
  <si>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</si>
  <si>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</si>
  <si>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</si>
  <si>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</si>
  <si>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</si>
  <si>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</si>
  <si>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</si>
  <si>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</si>
  <si>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</si>
  <si>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</si>
  <si>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</si>
  <si>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</si>
  <si>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</si>
  <si>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</si>
  <si>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</si>
  <si>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</si>
  <si>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</si>
  <si>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</si>
  <si>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</si>
  <si>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</si>
  <si>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</si>
  <si>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</si>
  <si>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</si>
  <si>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</si>
  <si>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</si>
  <si>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</si>
  <si>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</si>
  <si>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</si>
  <si>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</si>
  <si>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</si>
  <si>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</si>
  <si>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</si>
  <si>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</si>
  <si>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</si>
  <si>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</si>
  <si>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</si>
  <si>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</si>
  <si>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</si>
  <si>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</si>
  <si>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</si>
  <si>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</si>
  <si>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</si>
  <si>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</si>
  <si>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</si>
  <si>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</si>
  <si>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</si>
  <si>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</si>
  <si>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</si>
  <si>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</si>
  <si>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</si>
  <si>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</si>
  <si>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</si>
  <si>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</si>
  <si>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</si>
  <si>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</si>
  <si>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</si>
  <si>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</si>
  <si>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</si>
  <si>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</si>
  <si>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</si>
  <si>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</si>
  <si>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</si>
  <si>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</si>
  <si>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</si>
  <si>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</si>
  <si>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</si>
  <si>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</si>
  <si>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</si>
  <si>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</si>
  <si>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</si>
  <si>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</si>
  <si>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</si>
  <si>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</si>
  <si>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</si>
  <si>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</si>
  <si>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</si>
  <si>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</si>
  <si>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</si>
  <si>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</si>
  <si>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</si>
  <si>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</si>
  <si>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</si>
  <si>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</si>
  <si>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</si>
  <si>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</si>
  <si>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</si>
  <si>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</si>
  <si>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</si>
  <si>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</si>
  <si>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</si>
  <si>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</si>
  <si>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</si>
  <si>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</si>
  <si>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</si>
  <si>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</si>
  <si>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</si>
  <si>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</si>
  <si>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</si>
  <si>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</si>
  <si>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</si>
  <si>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</si>
  <si>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</si>
  <si>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</si>
  <si>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</si>
  <si>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</si>
  <si>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</si>
  <si>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</si>
  <si>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</si>
  <si>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</si>
  <si>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</si>
  <si>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</si>
  <si>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</si>
  <si>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</si>
  <si>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</si>
  <si>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</si>
  <si>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</si>
  <si>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</si>
  <si>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</si>
  <si>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</si>
  <si>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</si>
  <si>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</si>
  <si>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</si>
  <si>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</si>
  <si>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</si>
  <si>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</si>
  <si>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</si>
  <si>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</si>
  <si>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</si>
  <si>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</si>
  <si>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</si>
  <si>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</si>
  <si>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</si>
  <si>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</si>
  <si>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</si>
  <si>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</si>
  <si>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</si>
  <si>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</si>
  <si>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</si>
  <si>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</si>
  <si>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</si>
  <si>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</si>
  <si>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</si>
  <si>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</si>
  <si>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</si>
  <si>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</si>
  <si>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</si>
  <si>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</si>
  <si>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</si>
  <si>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</si>
  <si>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</si>
  <si>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</si>
  <si>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</si>
  <si>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</si>
  <si>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</si>
  <si>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</si>
  <si>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</si>
  <si>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</si>
  <si>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</si>
  <si>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</si>
  <si>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</si>
  <si>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</si>
  <si>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</si>
  <si>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</si>
  <si>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</si>
  <si>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</si>
  <si>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</si>
  <si>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</si>
  <si>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</si>
  <si>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</si>
  <si>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</si>
  <si>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</si>
  <si>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</si>
  <si>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</si>
  <si>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</si>
  <si>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</si>
  <si>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</si>
  <si>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</si>
  <si>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</si>
  <si>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</si>
  <si>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</si>
  <si>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</si>
  <si>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</si>
  <si>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</si>
  <si>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</si>
  <si>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</si>
  <si>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</si>
  <si>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</si>
  <si>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</si>
  <si>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</si>
  <si>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</si>
  <si>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</si>
  <si>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</si>
  <si>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</si>
  <si>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</si>
  <si>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</si>
  <si>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</si>
  <si>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</si>
  <si>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</si>
  <si>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</si>
  <si>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</si>
  <si>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</si>
  <si>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</si>
  <si>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</si>
  <si>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</si>
  <si>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</si>
  <si>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</si>
  <si>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</si>
  <si>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</si>
  <si>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</si>
  <si>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</si>
  <si>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</si>
  <si>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</si>
  <si>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</si>
  <si>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</si>
  <si>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</si>
  <si>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</si>
  <si>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</si>
  <si>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</si>
  <si>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</si>
  <si>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</si>
  <si>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</si>
  <si>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</si>
  <si>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</si>
  <si>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</si>
  <si>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</si>
  <si>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</si>
  <si>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</si>
  <si>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</si>
  <si>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</si>
  <si>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</si>
  <si>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</si>
  <si>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</si>
  <si>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</si>
  <si>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</si>
  <si>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</si>
  <si>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</si>
  <si>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</si>
  <si>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</si>
  <si>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</si>
  <si>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</si>
  <si>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</si>
  <si>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</si>
  <si>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</si>
  <si>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</si>
  <si>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</si>
  <si>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</si>
  <si>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</si>
  <si>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</si>
  <si>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</si>
  <si>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</si>
  <si>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</si>
  <si>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</si>
  <si>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</si>
  <si>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</si>
  <si>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</si>
  <si>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</si>
  <si>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</si>
  <si>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</si>
  <si>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</si>
  <si>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</si>
  <si>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</si>
  <si>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</si>
  <si>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</si>
  <si>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</si>
  <si>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</si>
  <si>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</si>
  <si>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</si>
  <si>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</si>
  <si>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</si>
  <si>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</si>
  <si>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</si>
  <si>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</si>
  <si>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</si>
  <si>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</si>
  <si>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</si>
  <si>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</si>
  <si>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</si>
  <si>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</si>
  <si>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</si>
  <si>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</si>
  <si>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</si>
  <si>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</si>
  <si>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</si>
  <si>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</si>
  <si>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</si>
  <si>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</si>
  <si>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</si>
  <si>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</si>
  <si>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</si>
  <si>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</si>
  <si>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</si>
  <si>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</si>
  <si>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</si>
  <si>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</si>
  <si>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</si>
  <si>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</si>
  <si>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</si>
  <si>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</si>
  <si>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</si>
  <si>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</si>
  <si>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</si>
  <si>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</si>
  <si>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</si>
  <si>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</si>
  <si>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</si>
  <si>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</si>
  <si>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</si>
  <si>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</si>
  <si>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</si>
  <si>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</si>
  <si>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</si>
  <si>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</si>
  <si>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</si>
  <si>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</si>
  <si>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</si>
  <si>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</si>
  <si>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</si>
  <si>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</si>
  <si>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</si>
  <si>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</si>
  <si>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</si>
  <si>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</si>
  <si>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</si>
  <si>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</si>
  <si>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</si>
  <si>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</si>
  <si>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</si>
  <si>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</si>
  <si>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</si>
  <si>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</si>
  <si>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</si>
  <si>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</si>
  <si>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</si>
  <si>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</si>
  <si>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</si>
  <si>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</si>
  <si>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</si>
  <si>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</si>
  <si>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</si>
  <si>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</si>
  <si>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</si>
  <si>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</si>
  <si>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</si>
  <si>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</si>
  <si>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</si>
  <si>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</si>
  <si>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</si>
  <si>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</si>
  <si>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</si>
  <si>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</si>
  <si>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</si>
  <si>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</si>
  <si>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</si>
  <si>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</si>
  <si>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</si>
  <si>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</si>
  <si>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</si>
  <si>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</si>
  <si>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</si>
  <si>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</si>
  <si>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</si>
  <si>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</si>
  <si>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</si>
  <si>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</si>
  <si>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</si>
  <si>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</si>
  <si>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</si>
  <si>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</si>
  <si>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</si>
  <si>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</si>
  <si>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</si>
  <si>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67495</t>
  </si>
  <si>
    <t>99</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</si>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</sst>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162</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1144</v>
      </c>
      <c r="K5" s="219">
        <f>SUM('Pt 2 Premium and Claims'!K$5,'Pt 2 Premium and Claims'!K$6,-'Pt 2 Premium and Claims'!K$7,-'Pt 2 Premium and Claims'!K$13,'Pt 2 Premium and Claims'!K$14,'Pt 2 Premium and Claims'!K$16:'Pt 2 Premium and Claims'!K$17)</f>
        <v>1144</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12260097</v>
      </c>
      <c r="Q5" s="219">
        <f>SUM('Pt 2 Premium and Claims'!Q$5,'Pt 2 Premium and Claims'!Q$6,-'Pt 2 Premium and Claims'!Q$7,-'Pt 2 Premium and Claims'!Q$13,'Pt 2 Premium and Claims'!Q$14)</f>
        <v>12277168</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32043000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342</v>
      </c>
      <c r="Q7" s="223">
        <v>342</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906</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80879</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2173</v>
      </c>
      <c r="K12" s="219">
        <f>'Pt 2 Premium and Claims'!K$54</f>
        <v>2160</v>
      </c>
      <c r="L12" s="219">
        <f>'Pt 2 Premium and Claims'!L$54</f>
        <v>0</v>
      </c>
      <c r="M12" s="219">
        <f>'Pt 2 Premium and Claims'!M$54</f>
        <v>0</v>
      </c>
      <c r="N12" s="219">
        <f>'Pt 2 Premium and Claims'!N$54</f>
        <v>0</v>
      </c>
      <c r="O12" s="218">
        <f>'Pt 2 Premium and Claims'!O$54</f>
        <v>0</v>
      </c>
      <c r="P12" s="218">
        <f>'Pt 2 Premium and Claims'!P$54</f>
        <v>8378820</v>
      </c>
      <c r="Q12" s="219">
        <f>'Pt 2 Premium and Claims'!Q$54</f>
        <v>9607935</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22509382</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1887744</v>
      </c>
      <c r="Q13" s="223">
        <v>1901188</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302319</v>
      </c>
      <c r="Q14" s="223">
        <v>762748</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31458</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202</v>
      </c>
      <c r="Q15" s="223">
        <v>123</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-109</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135418</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502418</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-3</v>
      </c>
      <c r="E25" s="223">
        <v>-3</v>
      </c>
      <c r="F25" s="223"/>
      <c r="G25" s="223"/>
      <c r="H25" s="223"/>
      <c r="I25" s="222">
        <v>0</v>
      </c>
      <c r="J25" s="222">
        <v>-352</v>
      </c>
      <c r="K25" s="223">
        <v>-352</v>
      </c>
      <c r="L25" s="223"/>
      <c r="M25" s="223"/>
      <c r="N25" s="223"/>
      <c r="O25" s="222"/>
      <c r="P25" s="222">
        <v>633231</v>
      </c>
      <c r="Q25" s="223">
        <v>633231</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2158261</v>
      </c>
      <c r="AU25" s="226">
        <v>0</v>
      </c>
      <c r="AV25" s="226">
        <v>-23111924</v>
      </c>
      <c r="AW25" s="303"/>
    </row>
    <row r="26" spans="1:49" s="11" customFormat="1" x14ac:dyDescent="0.2">
      <c r="A26" s="41"/>
      <c r="B26" s="248" t="s">
        <v>242</v>
      </c>
      <c r="C26" s="209"/>
      <c r="D26" s="222">
        <v>9</v>
      </c>
      <c r="E26" s="223">
        <v>9</v>
      </c>
      <c r="F26" s="223"/>
      <c r="G26" s="223"/>
      <c r="H26" s="223"/>
      <c r="I26" s="222">
        <v>0</v>
      </c>
      <c r="J26" s="222">
        <v>0</v>
      </c>
      <c r="K26" s="223">
        <v>0</v>
      </c>
      <c r="L26" s="223"/>
      <c r="M26" s="223"/>
      <c r="N26" s="223"/>
      <c r="O26" s="222"/>
      <c r="P26" s="222">
        <v>11730</v>
      </c>
      <c r="Q26" s="223">
        <v>11730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319672</v>
      </c>
      <c r="Q27" s="223">
        <v>319672</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269753</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44671</v>
      </c>
      <c r="Q28" s="223">
        <v>44671</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38962</v>
      </c>
      <c r="AU28" s="226">
        <v>0</v>
      </c>
      <c r="AV28" s="226">
        <v>3106961</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4</v>
      </c>
      <c r="K30" s="223">
        <v>4</v>
      </c>
      <c r="L30" s="223"/>
      <c r="M30" s="223"/>
      <c r="N30" s="223"/>
      <c r="O30" s="222"/>
      <c r="P30" s="222">
        <v>37957</v>
      </c>
      <c r="Q30" s="223">
        <v>37957</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98886</v>
      </c>
      <c r="AU30" s="226">
        <v>0</v>
      </c>
      <c r="AV30" s="226">
        <v>81236</v>
      </c>
      <c r="AW30" s="303"/>
    </row>
    <row r="31" spans="1:49" x14ac:dyDescent="0.2">
      <c r="B31" s="248" t="s">
        <v>247</v>
      </c>
      <c r="C31" s="209"/>
      <c r="D31" s="222">
        <v>0</v>
      </c>
      <c r="E31" s="223">
        <v>0</v>
      </c>
      <c r="F31" s="223"/>
      <c r="G31" s="223"/>
      <c r="H31" s="223"/>
      <c r="I31" s="222">
        <v>0</v>
      </c>
      <c r="J31" s="222">
        <v>20</v>
      </c>
      <c r="K31" s="223">
        <v>20</v>
      </c>
      <c r="L31" s="223"/>
      <c r="M31" s="223"/>
      <c r="N31" s="223"/>
      <c r="O31" s="222"/>
      <c r="P31" s="222">
        <v>208029</v>
      </c>
      <c r="Q31" s="223">
        <v>208029</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550938</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219107</v>
      </c>
      <c r="Q34" s="223">
        <v>219107</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16807</v>
      </c>
      <c r="Q35" s="223">
        <v>16807</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1101</v>
      </c>
      <c r="AU35" s="226">
        <v>0</v>
      </c>
      <c r="AV35" s="226">
        <v>78266</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1</v>
      </c>
      <c r="K37" s="231">
        <v>1</v>
      </c>
      <c r="L37" s="231"/>
      <c r="M37" s="231"/>
      <c r="N37" s="231"/>
      <c r="O37" s="230"/>
      <c r="P37" s="230">
        <v>12907</v>
      </c>
      <c r="Q37" s="231">
        <v>12956</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158</v>
      </c>
      <c r="AU37" s="232">
        <v>0</v>
      </c>
      <c r="AV37" s="232">
        <v>3260578</v>
      </c>
      <c r="AW37" s="302"/>
    </row>
    <row r="38" spans="1:49" x14ac:dyDescent="0.2">
      <c r="B38" s="245" t="s">
        <v>254</v>
      </c>
      <c r="C38" s="209" t="s">
        <v>16</v>
      </c>
      <c r="D38" s="222">
        <v>0</v>
      </c>
      <c r="E38" s="223">
        <v>0</v>
      </c>
      <c r="F38" s="223"/>
      <c r="G38" s="223"/>
      <c r="H38" s="223"/>
      <c r="I38" s="222">
        <v>0</v>
      </c>
      <c r="J38" s="222">
        <v>1</v>
      </c>
      <c r="K38" s="223">
        <v>1</v>
      </c>
      <c r="L38" s="223"/>
      <c r="M38" s="223"/>
      <c r="N38" s="223"/>
      <c r="O38" s="222"/>
      <c r="P38" s="222">
        <v>2928</v>
      </c>
      <c r="Q38" s="223">
        <v>2925</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2</v>
      </c>
      <c r="AU38" s="226">
        <v>0</v>
      </c>
      <c r="AV38" s="226">
        <v>466326</v>
      </c>
      <c r="AW38" s="303"/>
    </row>
    <row r="39" spans="1:49" x14ac:dyDescent="0.2">
      <c r="B39" s="248" t="s">
        <v>255</v>
      </c>
      <c r="C39" s="209" t="s">
        <v>17</v>
      </c>
      <c r="D39" s="222">
        <v>0</v>
      </c>
      <c r="E39" s="223">
        <v>0</v>
      </c>
      <c r="F39" s="223"/>
      <c r="G39" s="223"/>
      <c r="H39" s="223"/>
      <c r="I39" s="222">
        <v>0</v>
      </c>
      <c r="J39" s="222">
        <v>1</v>
      </c>
      <c r="K39" s="223">
        <v>1</v>
      </c>
      <c r="L39" s="223"/>
      <c r="M39" s="223"/>
      <c r="N39" s="223"/>
      <c r="O39" s="222"/>
      <c r="P39" s="222">
        <v>1955</v>
      </c>
      <c r="Q39" s="223">
        <v>2294</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119</v>
      </c>
      <c r="AU39" s="226">
        <v>0</v>
      </c>
      <c r="AV39" s="226">
        <v>79319</v>
      </c>
      <c r="AW39" s="303"/>
    </row>
    <row r="40" spans="1:49" x14ac:dyDescent="0.2">
      <c r="B40" s="248" t="s">
        <v>256</v>
      </c>
      <c r="C40" s="209" t="s">
        <v>38</v>
      </c>
      <c r="D40" s="222">
        <v>0</v>
      </c>
      <c r="E40" s="223">
        <v>0</v>
      </c>
      <c r="F40" s="223"/>
      <c r="G40" s="223"/>
      <c r="H40" s="223"/>
      <c r="I40" s="222">
        <v>0</v>
      </c>
      <c r="J40" s="222">
        <v>1</v>
      </c>
      <c r="K40" s="223">
        <v>1</v>
      </c>
      <c r="L40" s="223"/>
      <c r="M40" s="223"/>
      <c r="N40" s="223"/>
      <c r="O40" s="222"/>
      <c r="P40" s="222">
        <v>470</v>
      </c>
      <c r="Q40" s="223">
        <v>474</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440</v>
      </c>
      <c r="AU40" s="226">
        <v>0</v>
      </c>
      <c r="AV40" s="226">
        <v>510807</v>
      </c>
      <c r="AW40" s="303"/>
    </row>
    <row r="41" spans="1:49" s="11" customFormat="1" ht="25.5" x14ac:dyDescent="0.2">
      <c r="A41" s="41"/>
      <c r="B41" s="248" t="s">
        <v>257</v>
      </c>
      <c r="C41" s="209" t="s">
        <v>129</v>
      </c>
      <c r="D41" s="222">
        <v>0</v>
      </c>
      <c r="E41" s="223">
        <v>0</v>
      </c>
      <c r="F41" s="223"/>
      <c r="G41" s="223"/>
      <c r="H41" s="223"/>
      <c r="I41" s="222">
        <v>0</v>
      </c>
      <c r="J41" s="222">
        <v>1</v>
      </c>
      <c r="K41" s="223">
        <v>1</v>
      </c>
      <c r="L41" s="223"/>
      <c r="M41" s="223"/>
      <c r="N41" s="223"/>
      <c r="O41" s="222"/>
      <c r="P41" s="222">
        <v>6510</v>
      </c>
      <c r="Q41" s="223">
        <v>6513</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2943</v>
      </c>
      <c r="AU41" s="226">
        <v>0</v>
      </c>
      <c r="AV41" s="226">
        <v>1448423</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684</v>
      </c>
      <c r="Q42" s="223">
        <v>684</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59101</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260386</v>
      </c>
      <c r="Q44" s="231">
        <v>269477</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17523</v>
      </c>
      <c r="AU44" s="232">
        <v>0</v>
      </c>
      <c r="AV44" s="232">
        <v>16212350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3254</v>
      </c>
      <c r="Q45" s="223">
        <v>3254</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1358</v>
      </c>
      <c r="AU45" s="226">
        <v>0</v>
      </c>
      <c r="AV45" s="226">
        <v>-14079</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94643</v>
      </c>
      <c r="Q46" s="223">
        <v>94643</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95227</v>
      </c>
      <c r="AU46" s="226">
        <v>0</v>
      </c>
      <c r="AV46" s="226">
        <v>5193361</v>
      </c>
      <c r="AW46" s="303"/>
    </row>
    <row r="47" spans="1:49" x14ac:dyDescent="0.2">
      <c r="B47" s="251" t="s">
        <v>263</v>
      </c>
      <c r="C47" s="209" t="s">
        <v>21</v>
      </c>
      <c r="D47" s="222">
        <v>0</v>
      </c>
      <c r="E47" s="223">
        <v>0</v>
      </c>
      <c r="F47" s="223"/>
      <c r="G47" s="223"/>
      <c r="H47" s="223"/>
      <c r="I47" s="222">
        <v>0</v>
      </c>
      <c r="J47" s="222">
        <v>25</v>
      </c>
      <c r="K47" s="223">
        <v>25</v>
      </c>
      <c r="L47" s="223"/>
      <c r="M47" s="223"/>
      <c r="N47" s="223"/>
      <c r="O47" s="222"/>
      <c r="P47" s="222">
        <v>269346</v>
      </c>
      <c r="Q47" s="223">
        <v>269346</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806581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156</v>
      </c>
      <c r="Q49" s="223">
        <v>156</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v>
      </c>
      <c r="AU49" s="226">
        <v>0</v>
      </c>
      <c r="AV49" s="226">
        <v>393</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476</v>
      </c>
      <c r="Q50" s="223">
        <v>476</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111</v>
      </c>
      <c r="AU50" s="226">
        <v>0</v>
      </c>
      <c r="AV50" s="226">
        <v>999</v>
      </c>
      <c r="AW50" s="303"/>
    </row>
    <row r="51" spans="2:49" x14ac:dyDescent="0.2">
      <c r="B51" s="245" t="s">
        <v>266</v>
      </c>
      <c r="C51" s="209"/>
      <c r="D51" s="222">
        <v>0</v>
      </c>
      <c r="E51" s="223">
        <v>0</v>
      </c>
      <c r="F51" s="223"/>
      <c r="G51" s="223"/>
      <c r="H51" s="223"/>
      <c r="I51" s="222">
        <v>0</v>
      </c>
      <c r="J51" s="222">
        <v>0</v>
      </c>
      <c r="K51" s="223">
        <v>0</v>
      </c>
      <c r="L51" s="223"/>
      <c r="M51" s="223"/>
      <c r="N51" s="223"/>
      <c r="O51" s="222"/>
      <c r="P51" s="222">
        <v>221953</v>
      </c>
      <c r="Q51" s="223">
        <v>221953</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1366831</v>
      </c>
      <c r="AU51" s="226">
        <v>0</v>
      </c>
      <c r="AV51" s="226">
        <v>83875855</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1075</v>
      </c>
      <c r="Q53" s="223">
        <v>1075</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7242</v>
      </c>
      <c r="AU53" s="226">
        <v>0</v>
      </c>
      <c r="AV53" s="226">
        <v>174109</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43948354</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1522</v>
      </c>
      <c r="Q56" s="235">
        <v>1522</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27527</v>
      </c>
      <c r="AU56" s="236">
        <v>0</v>
      </c>
      <c r="AV56" s="236">
        <v>436631</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3369</v>
      </c>
      <c r="Q57" s="238">
        <v>3369</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55970</v>
      </c>
      <c r="AU57" s="239">
        <v>0</v>
      </c>
      <c r="AV57" s="239">
        <v>904563</v>
      </c>
      <c r="AW57" s="295"/>
    </row>
    <row r="58" spans="2:49" x14ac:dyDescent="0.2">
      <c r="B58" s="251" t="s">
        <v>273</v>
      </c>
      <c r="C58" s="209" t="s">
        <v>26</v>
      </c>
      <c r="D58" s="315"/>
      <c r="E58" s="316"/>
      <c r="F58" s="316"/>
      <c r="G58" s="316"/>
      <c r="H58" s="316"/>
      <c r="I58" s="315"/>
      <c r="J58" s="237">
        <v>0</v>
      </c>
      <c r="K58" s="238">
        <v>0</v>
      </c>
      <c r="L58" s="238"/>
      <c r="M58" s="238"/>
      <c r="N58" s="238"/>
      <c r="O58" s="237"/>
      <c r="P58" s="237">
        <v>6</v>
      </c>
      <c r="Q58" s="238">
        <v>6</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215</v>
      </c>
      <c r="AU58" s="239">
        <v>0</v>
      </c>
      <c r="AV58" s="239">
        <v>71</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37935</v>
      </c>
      <c r="Q59" s="238">
        <v>37935</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702709</v>
      </c>
      <c r="AU59" s="239">
        <v>0</v>
      </c>
      <c r="AV59" s="239">
        <v>11159177</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3161.25</v>
      </c>
      <c r="Q60" s="241">
        <f>Q$59/12</f>
        <v>3161.25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58559.083333333336</v>
      </c>
      <c r="AU60" s="242">
        <f>AU$59/12</f>
        <v>0</v>
      </c>
      <c r="AV60" s="242">
        <f>AV$59/12</f>
        <v>929931.41666666663</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1436667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251694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-69958</v>
      </c>
      <c r="E5" s="332">
        <v>-69958</v>
      </c>
      <c r="F5" s="332"/>
      <c r="G5" s="334"/>
      <c r="H5" s="334"/>
      <c r="I5" s="331">
        <v>0</v>
      </c>
      <c r="J5" s="331">
        <v>1137</v>
      </c>
      <c r="K5" s="332">
        <v>1137</v>
      </c>
      <c r="L5" s="332"/>
      <c r="M5" s="332"/>
      <c r="N5" s="332"/>
      <c r="O5" s="331"/>
      <c r="P5" s="331">
        <v>11979861</v>
      </c>
      <c r="Q5" s="332">
        <v>11953525</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31916627</v>
      </c>
      <c r="AU5" s="333">
        <v>0</v>
      </c>
      <c r="AV5" s="375"/>
      <c r="AW5" s="379"/>
    </row>
    <row r="6" spans="2:49" x14ac:dyDescent="0.2">
      <c r="B6" s="349" t="s">
        <v>278</v>
      </c>
      <c r="C6" s="337" t="s">
        <v>8</v>
      </c>
      <c r="D6" s="324">
        <v>69958</v>
      </c>
      <c r="E6" s="325">
        <v>69958</v>
      </c>
      <c r="F6" s="325"/>
      <c r="G6" s="326"/>
      <c r="H6" s="326"/>
      <c r="I6" s="324">
        <v>0</v>
      </c>
      <c r="J6" s="324">
        <v>0</v>
      </c>
      <c r="K6" s="325">
        <v>0</v>
      </c>
      <c r="L6" s="325"/>
      <c r="M6" s="325"/>
      <c r="N6" s="325"/>
      <c r="O6" s="324"/>
      <c r="P6" s="324">
        <v>251675</v>
      </c>
      <c r="Q6" s="325">
        <v>251675</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242710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43407</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113527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644258</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644258</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-151</v>
      </c>
      <c r="K11" s="325">
        <v>-151</v>
      </c>
      <c r="L11" s="325"/>
      <c r="M11" s="325"/>
      <c r="N11" s="325"/>
      <c r="O11" s="324"/>
      <c r="P11" s="324">
        <v>8137220</v>
      </c>
      <c r="Q11" s="325">
        <v>-3490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8845763</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-7</v>
      </c>
      <c r="K13" s="325">
        <v>-7</v>
      </c>
      <c r="L13" s="325"/>
      <c r="M13" s="325"/>
      <c r="N13" s="325"/>
      <c r="O13" s="324"/>
      <c r="P13" s="324">
        <v>-71968</v>
      </c>
      <c r="Q13" s="325">
        <v>-71968</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2810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8340822</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22116934</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7955102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3400</v>
      </c>
      <c r="K26" s="368"/>
      <c r="L26" s="368"/>
      <c r="M26" s="368"/>
      <c r="N26" s="368"/>
      <c r="O26" s="370"/>
      <c r="P26" s="324">
        <v>2866262</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3041312</v>
      </c>
      <c r="AU26" s="327">
        <v>0</v>
      </c>
      <c r="AV26" s="374"/>
      <c r="AW26" s="380"/>
    </row>
    <row r="27" spans="2:49" s="11" customFormat="1" ht="25.5" x14ac:dyDescent="0.2">
      <c r="B27" s="351" t="s">
        <v>85</v>
      </c>
      <c r="C27" s="337"/>
      <c r="D27" s="371"/>
      <c r="E27" s="325">
        <v>0</v>
      </c>
      <c r="F27" s="325"/>
      <c r="G27" s="325"/>
      <c r="H27" s="325"/>
      <c r="I27" s="324">
        <v>0</v>
      </c>
      <c r="J27" s="371"/>
      <c r="K27" s="325">
        <v>3323</v>
      </c>
      <c r="L27" s="325"/>
      <c r="M27" s="325"/>
      <c r="N27" s="325"/>
      <c r="O27" s="324"/>
      <c r="P27" s="371"/>
      <c r="Q27" s="325">
        <v>1018010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64</v>
      </c>
      <c r="K28" s="369"/>
      <c r="L28" s="369"/>
      <c r="M28" s="369"/>
      <c r="N28" s="369"/>
      <c r="O28" s="371"/>
      <c r="P28" s="324">
        <v>2879751</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2641075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34710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42499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1</v>
      </c>
      <c r="K34" s="368"/>
      <c r="L34" s="368"/>
      <c r="M34" s="368"/>
      <c r="N34" s="368"/>
      <c r="O34" s="370"/>
      <c r="P34" s="324">
        <v>6256</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1</v>
      </c>
      <c r="L35" s="325"/>
      <c r="M35" s="325"/>
      <c r="N35" s="325"/>
      <c r="O35" s="324"/>
      <c r="P35" s="371"/>
      <c r="Q35" s="325">
        <v>6256</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1013</v>
      </c>
      <c r="K36" s="325">
        <v>1013</v>
      </c>
      <c r="L36" s="325"/>
      <c r="M36" s="325"/>
      <c r="N36" s="325"/>
      <c r="O36" s="324"/>
      <c r="P36" s="324">
        <v>13643</v>
      </c>
      <c r="Q36" s="325">
        <v>13643</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644258</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644258</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-151</v>
      </c>
      <c r="K41" s="368"/>
      <c r="L41" s="368"/>
      <c r="M41" s="368"/>
      <c r="N41" s="368"/>
      <c r="O41" s="370"/>
      <c r="P41" s="324">
        <v>8137220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-151</v>
      </c>
      <c r="L42" s="325"/>
      <c r="M42" s="325"/>
      <c r="N42" s="325"/>
      <c r="O42" s="324"/>
      <c r="P42" s="371"/>
      <c r="Q42" s="325">
        <v>-3490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8845763</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1762</v>
      </c>
      <c r="Q45" s="325">
        <v>1469</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241062</v>
      </c>
      <c r="Q49" s="325">
        <v>27</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362459</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2173</v>
      </c>
      <c r="K54" s="329">
        <f>K24+K27+K31+K35-K36+K39+K42+K45+K46-K49+K51+K52+K53</f>
        <v>2160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8378820</v>
      </c>
      <c r="Q54" s="329">
        <f>Q24+Q27+Q31+Q35-Q36+Q39+Q42+Q45+Q46-Q49+Q51+Q52+Q53</f>
        <v>9607935</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22509382</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16568208</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3757</v>
      </c>
      <c r="D6" s="404">
        <v>0</v>
      </c>
      <c r="E6" s="406">
        <f>SUM('Pt 1 Summary of Data'!E$12,'Pt 1 Summary of Data'!E$22)+SUM('Pt 1 Summary of Data'!G$12,'Pt 1 Summary of Data'!G$22)-SUM('Pt 1 Summary of Data'!H$12,'Pt 1 Summary of Data'!H$22)</f>
        <v>0</v>
      </c>
      <c r="F6" s="406">
        <f>SUM(C6:E6)</f>
        <v>3757</v>
      </c>
      <c r="G6" s="407">
        <f>SUM('Pt 1 Summary of Data'!I$12,'Pt 1 Summary of Data'!I$22)</f>
        <v>0</v>
      </c>
      <c r="H6" s="403">
        <v>0</v>
      </c>
      <c r="I6" s="404">
        <v>1013</v>
      </c>
      <c r="J6" s="406">
        <f>SUM('Pt 1 Summary of Data'!K$12,'Pt 1 Summary of Data'!K$22)+SUM('Pt 1 Summary of Data'!M$12,'Pt 1 Summary of Data'!M$22)-SUM('Pt 1 Summary of Data'!N$12,'Pt 1 Summary of Data'!N$22)</f>
        <v>2160</v>
      </c>
      <c r="K6" s="406">
        <f>SUM(H6:J6)</f>
        <v>3173</v>
      </c>
      <c r="L6" s="407">
        <f>SUM('Pt 1 Summary of Data'!O$12,'Pt 1 Summary of Data'!O$22)</f>
        <v>0</v>
      </c>
      <c r="M6" s="403">
        <v>16237674</v>
      </c>
      <c r="N6" s="404">
        <v>18041528</v>
      </c>
      <c r="O6" s="406">
        <f>SUM('Pt 1 Summary of Data'!Q$12,'Pt 1 Summary of Data'!Q$22)+SUM('Pt 1 Summary of Data'!S$12,'Pt 1 Summary of Data'!S$22)-SUM('Pt 1 Summary of Data'!T$12,'Pt 1 Summary of Data'!T$22)</f>
        <v>9607935</v>
      </c>
      <c r="P6" s="406">
        <f>SUM(M6:O6)</f>
        <v>43887137</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121</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121</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5</v>
      </c>
      <c r="K7" s="406">
        <f>SUM(H7:J7)</f>
        <v>5</v>
      </c>
      <c r="L7" s="407">
        <f>SUM('Pt 1 Summary of Data'!O$37:O$41)+MAX(0,MIN(VALUE('Pt 1 Summary of Data'!O$42),0.3%*('Pt 1 Summary of Data'!O$5-L$10)))</f>
        <v>0</v>
      </c>
      <c r="M7" s="403">
        <v>83909</v>
      </c>
      <c r="N7" s="404">
        <v>49313</v>
      </c>
      <c r="O7" s="406">
        <f>SUM('Pt 1 Summary of Data'!Q$37:Q$41)+SUM('Pt 1 Summary of Data'!S$37:S$41)-SUM('Pt 1 Summary of Data'!T$37:T$41)+MAX(0,MIN('Pt 1 Summary of Data'!Q$42+'Pt 1 Summary of Data'!S$42-'Pt 1 Summary of Data'!T$42,0.3%*('Pt 1 Summary of Data'!Q$5+'Pt 1 Summary of Data'!S$5-'Pt 1 Summary of Data'!T$5)))</f>
        <v>25846</v>
      </c>
      <c r="P7" s="406">
        <f>SUM(M7:O7)</f>
        <v>159068</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3878</v>
      </c>
      <c r="D12" s="406">
        <f>SUM(D$6:D$7) - SUM(D$8:D$11)+IF(AND(OR('Company Information'!$C$12="District of Columbia",'Company Information'!$C$12="Massachusetts",'Company Information'!$C$12="Vermont"),SUM($C$6:$F$11,$C$15:$F$16,$C$38:$D$38)&lt;&gt;0),SUM(I$6:I$7) - SUM(I$10:I$11),0)</f>
        <v>0</v>
      </c>
      <c r="E12" s="406">
        <f>SUM(E$6:E$7)-SUM(E$8:E$11)+IF(AND(OR('Company Information'!$C$12="District of Columbia",'Company Information'!$C$12="Massachusetts",'Company Information'!$C$12="Vermont"),SUM($C$6:$F$11,$C$15:$F$16,$C$38:$D$38)&lt;&gt;0),SUM(J$6:J$7)-SUM(J$10:J$11),0)</f>
        <v>0</v>
      </c>
      <c r="F12" s="406">
        <f>IFERROR(SUM(C$12:E$12)+C$17*MAX(0,E$50-C$50)+D$17*MAX(0,E$50-D$50),0)</f>
        <v>3878</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1013</v>
      </c>
      <c r="J12" s="406">
        <f>SUM(J$6:J$7)-SUM(J$10:J$11)+IF(AND(OR('Company Information'!$C$12="District of Columbia",'Company Information'!$C$12="Massachusetts",'Company Information'!$C$12="Vermont"),SUM($H$6:$K$11,$H$15:$K$16,$H$38:$I$38)&lt;&gt;0),SUM(E$6:E$7)-SUM(E$8:E$11),0)</f>
        <v>2165</v>
      </c>
      <c r="K12" s="406">
        <f>IFERROR(SUM(H$12:J$12)+H$17*MAX(0,J$50-H$50)+I$17*MAX(0,J$50-I$50),0)</f>
        <v>3178</v>
      </c>
      <c r="L12" s="453"/>
      <c r="M12" s="405">
        <f>SUM(M$6:M$7)</f>
        <v>16321583</v>
      </c>
      <c r="N12" s="406">
        <f>SUM(N$6:N$7)</f>
        <v>18090841</v>
      </c>
      <c r="O12" s="406">
        <f>SUM(O$6:O$7)</f>
        <v>9633781</v>
      </c>
      <c r="P12" s="406">
        <f>SUM(M$12:O$12)+M$17*MAX(0,O$50-M$50)+N$17*MAX(0,O$50-N$50)</f>
        <v>44046205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11350</v>
      </c>
      <c r="D15" s="409">
        <v>0</v>
      </c>
      <c r="E15" s="401">
        <f>SUM('Pt 1 Summary of Data'!E$5:E$7)+SUM('Pt 1 Summary of Data'!G$5:G$7)-SUM('Pt 1 Summary of Data'!H$5:H$7)-SUM(E$9:E$11)</f>
        <v>0</v>
      </c>
      <c r="F15" s="401">
        <f>SUM(C15:E15)</f>
        <v>11350</v>
      </c>
      <c r="G15" s="402">
        <f>SUM('Pt 1 Summary of Data'!I$5:I$7)-SUM(G$9:G$10)</f>
        <v>0</v>
      </c>
      <c r="H15" s="408">
        <v>0</v>
      </c>
      <c r="I15" s="409">
        <v>825</v>
      </c>
      <c r="J15" s="401">
        <f>SUM('Pt 1 Summary of Data'!K$5:K$7)+SUM('Pt 1 Summary of Data'!M$5:M$7)-SUM('Pt 1 Summary of Data'!N$5:N$7)-SUM(J$10:J$11)</f>
        <v>1144</v>
      </c>
      <c r="K15" s="401">
        <f>SUM(H15:J15)</f>
        <v>1969</v>
      </c>
      <c r="L15" s="402">
        <f>SUM('Pt 1 Summary of Data'!O$5:O$7)-L$10</f>
        <v>0</v>
      </c>
      <c r="M15" s="408">
        <v>20908159</v>
      </c>
      <c r="N15" s="409">
        <v>24884206</v>
      </c>
      <c r="O15" s="401">
        <f>SUM('Pt 1 Summary of Data'!Q$5:Q$7)+SUM('Pt 1 Summary of Data'!S$5:S$7)-SUM('Pt 1 Summary of Data'!T$5:T$7)+N$56</f>
        <v>12277510</v>
      </c>
      <c r="P15" s="401">
        <f>SUM(M15:O15)</f>
        <v>58069875</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2205</v>
      </c>
      <c r="D16" s="404">
        <v>59</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v>
      </c>
      <c r="F16" s="406">
        <f>SUM(C16:E16)</f>
        <v>2270</v>
      </c>
      <c r="G16" s="407">
        <f>SUM('Pt 1 Summary of Data'!I$25:I$28,'Pt 1 Summary of Data'!I$30,'Pt 1 Summary of Data'!I$34:I$35)+IF('Company Information'!$C$15="No",IF(MAX('Pt 1 Summary of Data'!I$31:I$32)=0,MIN('Pt 1 Summary of Data'!I$31:I$32),MAX('Pt 1 Summary of Data'!I$31:I$32)),SUM('Pt 1 Summary of Data'!I$31:I$32))</f>
        <v>0</v>
      </c>
      <c r="H16" s="403">
        <v>0</v>
      </c>
      <c r="I16" s="404">
        <v>426864</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-328</v>
      </c>
      <c r="K16" s="406">
        <f>SUM(H16:J16)</f>
        <v>426536</v>
      </c>
      <c r="L16" s="407">
        <f>SUM('Pt 1 Summary of Data'!O$25:O$28,'Pt 1 Summary of Data'!O$30,'Pt 1 Summary of Data'!O$34:O$35)+IF('Company Information'!$C$15="No",IF(MAX('Pt 1 Summary of Data'!O$31:O$32)=0,MIN('Pt 1 Summary of Data'!O$31:O$32),MAX('Pt 1 Summary of Data'!O$31:O$32)),SUM('Pt 1 Summary of Data'!O$31:O$32))</f>
        <v>0</v>
      </c>
      <c r="M16" s="403">
        <v>802785</v>
      </c>
      <c r="N16" s="404">
        <v>2314498</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1491204</v>
      </c>
      <c r="P16" s="406">
        <f>SUM(M16:O16)</f>
        <v>4608487</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9145</v>
      </c>
      <c r="D17" s="406">
        <f>D$15-D$16+IF(AND(OR('Company Information'!$C$12="District of Columbia",'Company Information'!$C$12="Massachusetts",'Company Information'!$C$12="Vermont"),SUM($C$6:$F$11,$C$15:$F$16,$C$38:$D$38)&lt;&gt;0),I$15-I$16,0)</f>
        <v>-59</v>
      </c>
      <c r="E17" s="406">
        <f>E$15-E$16+IF(AND(OR('Company Information'!$C$12="District of Columbia",'Company Information'!$C$12="Massachusetts",'Company Information'!$C$12="Vermont"),SUM($C$6:$F$11,$C$15:$F$16,$C$38:$D$38)&lt;&gt;0),J$15-J$16,0)</f>
        <v>-6</v>
      </c>
      <c r="F17" s="406">
        <f>F$15-F$16+IF(AND(OR('Company Information'!$C$12="District of Columbia",'Company Information'!$C$12="Massachusetts",'Company Information'!$C$12="Vermont"),SUM($C$6:$F$11,$C$15:$F$16,$C$38:$D$38)&lt;&gt;0),K$15-K$16,0)</f>
        <v>9080</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-426039</v>
      </c>
      <c r="J17" s="406">
        <f>J$15-J$16+IF(AND(OR('Company Information'!$C$12="District of Columbia",'Company Information'!$C$12="Massachusetts",'Company Information'!$C$12="Vermont"),SUM($H$6:$K$11,$H$15:$K$16,$H$38:$I$38)&lt;&gt;0),E$15-E$16,0)</f>
        <v>1472</v>
      </c>
      <c r="K17" s="406">
        <f>K$15-K$16+IF(AND(OR('Company Information'!$C$12="District of Columbia",'Company Information'!$C$12="Massachusetts",'Company Information'!$C$12="Vermont"),SUM($H$6:$K$11,$H$15:$K$16,$H$38:$I$38)&lt;&gt;0),F$15-F$16,0)</f>
        <v>-424567</v>
      </c>
      <c r="L17" s="456"/>
      <c r="M17" s="405">
        <f>M$15-M$16</f>
        <v>20105374</v>
      </c>
      <c r="N17" s="406">
        <f>N$15-N$16</f>
        <v>22569708</v>
      </c>
      <c r="O17" s="406">
        <f>O$15-O$16</f>
        <v>10786306</v>
      </c>
      <c r="P17" s="406">
        <f>P$15-P$16</f>
        <v>53461388</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6</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3309.3332999999998</v>
      </c>
      <c r="N38" s="411">
        <v>3891.5832999999998</v>
      </c>
      <c r="O38" s="438">
        <f>('Pt 1 Summary of Data'!Q$59+'Pt 1 Summary of Data'!S$59-'Pt 1 Summary of Data'!T$59)/12</f>
        <v>3161.25</v>
      </c>
      <c r="P38" s="438">
        <f>SUM(M$38:O$38)</f>
        <v>10362.1666</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2.57585556E-2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2.57585556E-2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0.8118020087564648</v>
      </c>
      <c r="N45" s="442">
        <f>IF(OR(N$38&lt;1000,N$17&lt;=0),"",N$12/N$17)</f>
        <v>0.80155405643706157</v>
      </c>
      <c r="O45" s="442">
        <f>IF(OR(O$38&lt;1000,O$17&lt;=0),"",O$12/O$17)</f>
        <v>0.89314923941523627</v>
      </c>
      <c r="P45" s="442">
        <f>IF(OR(P$38&lt;1000,P$17&lt;=0),"",P$12/P$17)</f>
        <v>0.82388816766223882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2.57585556E-2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0.85</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0.85</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10786306</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10748</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4073</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1522</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135418</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507</v>
      </c>
      <c r="D23" s="6"/>
      <c r="E23" s="6"/>
      <c r="F23" s="6"/>
      <c r="G23" s="6"/>
      <c r="H23" s="6"/>
      <c r="I23" s="6"/>
      <c r="J23" s="6"/>
      <c r="K23" s="5"/>
    </row>
    <row r="24" spans="2:12" s="11" customFormat="1" ht="100.15" customHeight="1" x14ac:dyDescent="0.2">
      <c r="B24" s="96"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