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AA7" i="10"/>
  <c r="AB7" i="10" s="1"/>
  <c r="Z17" i="10"/>
  <c r="Z13" i="10"/>
  <c r="Y46" i="10"/>
  <c r="Y17" i="10"/>
  <c r="Y13" i="10"/>
  <c r="X41" i="10"/>
  <c r="X15" i="10"/>
  <c r="W16" i="10"/>
  <c r="X16" i="10" s="1"/>
  <c r="W15" i="10"/>
  <c r="T41" i="10"/>
  <c r="S16" i="10"/>
  <c r="T16" i="10" s="1"/>
  <c r="S7" i="10"/>
  <c r="T7" i="10" s="1"/>
  <c r="P41" i="10"/>
  <c r="O45" i="10"/>
  <c r="O38" i="10"/>
  <c r="P38" i="10" s="1"/>
  <c r="O16" i="10"/>
  <c r="P16" i="10" s="1"/>
  <c r="O15" i="10"/>
  <c r="O17" i="10" s="1"/>
  <c r="N45" i="10"/>
  <c r="N17" i="10"/>
  <c r="N12" i="10"/>
  <c r="M17" i="10"/>
  <c r="M12" i="10"/>
  <c r="L60" i="10"/>
  <c r="L59" i="10"/>
  <c r="L58" i="10"/>
  <c r="L36" i="10"/>
  <c r="L35" i="10"/>
  <c r="L16" i="10"/>
  <c r="L15" i="10"/>
  <c r="L10" i="10"/>
  <c r="K41" i="10"/>
  <c r="K16" i="10"/>
  <c r="K10" i="10"/>
  <c r="J16" i="10"/>
  <c r="J11" i="10"/>
  <c r="K11" i="10" s="1"/>
  <c r="J10" i="10"/>
  <c r="G60" i="10"/>
  <c r="G59" i="10"/>
  <c r="G58" i="10"/>
  <c r="G36" i="10"/>
  <c r="G35" i="10"/>
  <c r="G16" i="10"/>
  <c r="G15" i="10"/>
  <c r="G10" i="10"/>
  <c r="G9" i="10"/>
  <c r="G8" i="10"/>
  <c r="G7" i="10"/>
  <c r="F41" i="10"/>
  <c r="F7" i="10"/>
  <c r="E16" i="10"/>
  <c r="F16" i="10" s="1"/>
  <c r="E11" i="10"/>
  <c r="F11" i="10" s="1"/>
  <c r="E10" i="10"/>
  <c r="F10" i="10" s="1"/>
  <c r="E9" i="10"/>
  <c r="F9" i="10" s="1"/>
  <c r="E8" i="10"/>
  <c r="F8" i="10" s="1"/>
  <c r="E7" i="10"/>
  <c r="AU55" i="18"/>
  <c r="AU54" i="18"/>
  <c r="AT55" i="18"/>
  <c r="AT54" i="18"/>
  <c r="AT12" i="4" s="1"/>
  <c r="AS55" i="18"/>
  <c r="AS22" i="4" s="1"/>
  <c r="AS54" i="18"/>
  <c r="AC55" i="18"/>
  <c r="AC54" i="18"/>
  <c r="AC12" i="4" s="1"/>
  <c r="AB55" i="18"/>
  <c r="AB22" i="4" s="1"/>
  <c r="AB54" i="18"/>
  <c r="AA55" i="18"/>
  <c r="AA54" i="18"/>
  <c r="AA12" i="4" s="1"/>
  <c r="Z55" i="18"/>
  <c r="Z22" i="4" s="1"/>
  <c r="Z54" i="18"/>
  <c r="Y55" i="18"/>
  <c r="Y54" i="18"/>
  <c r="Y12" i="4" s="1"/>
  <c r="W6" i="10" s="1"/>
  <c r="X55" i="18"/>
  <c r="X54" i="18"/>
  <c r="W55" i="18"/>
  <c r="W54" i="18"/>
  <c r="W12" i="4" s="1"/>
  <c r="V55" i="18"/>
  <c r="V22" i="4" s="1"/>
  <c r="V54" i="18"/>
  <c r="U55" i="18"/>
  <c r="U54" i="18"/>
  <c r="U12" i="4" s="1"/>
  <c r="T55" i="18"/>
  <c r="T22" i="4" s="1"/>
  <c r="T54" i="18"/>
  <c r="S55" i="18"/>
  <c r="S54" i="18"/>
  <c r="S12" i="4" s="1"/>
  <c r="R55" i="18"/>
  <c r="R22" i="4" s="1"/>
  <c r="R54" i="18"/>
  <c r="Q55" i="18"/>
  <c r="Q54" i="18"/>
  <c r="Q12" i="4" s="1"/>
  <c r="P55" i="18"/>
  <c r="P54" i="18"/>
  <c r="O55" i="18"/>
  <c r="O54" i="18"/>
  <c r="O12" i="4" s="1"/>
  <c r="N55" i="18"/>
  <c r="N22" i="4" s="1"/>
  <c r="N54" i="18"/>
  <c r="M55" i="18"/>
  <c r="M54" i="18"/>
  <c r="M12" i="4" s="1"/>
  <c r="L55" i="18"/>
  <c r="L22" i="4" s="1"/>
  <c r="L54" i="18"/>
  <c r="K55" i="18"/>
  <c r="K54" i="18"/>
  <c r="K12" i="4" s="1"/>
  <c r="J55" i="18"/>
  <c r="J22" i="4" s="1"/>
  <c r="J54" i="18"/>
  <c r="I55" i="18"/>
  <c r="I54" i="18"/>
  <c r="I12" i="4" s="1"/>
  <c r="G6" i="10" s="1"/>
  <c r="H55" i="18"/>
  <c r="H54" i="18"/>
  <c r="G55" i="18"/>
  <c r="G54" i="18"/>
  <c r="G12" i="4" s="1"/>
  <c r="F55" i="18"/>
  <c r="F22" i="4" s="1"/>
  <c r="F54" i="18"/>
  <c r="E55" i="18"/>
  <c r="E54" i="18"/>
  <c r="E12" i="4" s="1"/>
  <c r="D55" i="18"/>
  <c r="D22" i="4" s="1"/>
  <c r="D54" i="18"/>
  <c r="AV60" i="4"/>
  <c r="AU60" i="4"/>
  <c r="AU22" i="4"/>
  <c r="AU12" i="4"/>
  <c r="AU5" i="4"/>
  <c r="AT60" i="4"/>
  <c r="AT22" i="4"/>
  <c r="AT5" i="4"/>
  <c r="AS60" i="4"/>
  <c r="AS12" i="4"/>
  <c r="AS5" i="4"/>
  <c r="AC60" i="4"/>
  <c r="AC22" i="4"/>
  <c r="AC5" i="4"/>
  <c r="AB60" i="4"/>
  <c r="AB12" i="4"/>
  <c r="AB5" i="4"/>
  <c r="AA15" i="10" s="1"/>
  <c r="AB15" i="10" s="1"/>
  <c r="AB17" i="10" s="1"/>
  <c r="AA60" i="4"/>
  <c r="AA22" i="4"/>
  <c r="AA5" i="4"/>
  <c r="Z60" i="4"/>
  <c r="Z12" i="4"/>
  <c r="Z5" i="4"/>
  <c r="Y60" i="4"/>
  <c r="Y22" i="4"/>
  <c r="Y5" i="4"/>
  <c r="W7" i="10" s="1"/>
  <c r="X7" i="10" s="1"/>
  <c r="X60" i="4"/>
  <c r="X22" i="4"/>
  <c r="X12" i="4"/>
  <c r="X5" i="4"/>
  <c r="W60" i="4"/>
  <c r="W22" i="4"/>
  <c r="W5" i="4"/>
  <c r="V60" i="4"/>
  <c r="V12" i="4"/>
  <c r="V5" i="4"/>
  <c r="S15" i="10" s="1"/>
  <c r="T15" i="10" s="1"/>
  <c r="U60" i="4"/>
  <c r="U22" i="4"/>
  <c r="U5" i="4"/>
  <c r="T60" i="4"/>
  <c r="T12" i="4"/>
  <c r="T5" i="4"/>
  <c r="S60" i="4"/>
  <c r="S22" i="4"/>
  <c r="S5" i="4"/>
  <c r="R60" i="4"/>
  <c r="R12" i="4"/>
  <c r="R5" i="4"/>
  <c r="Q60" i="4"/>
  <c r="Q22" i="4"/>
  <c r="Q5" i="4"/>
  <c r="O7" i="10" s="1"/>
  <c r="P7" i="10" s="1"/>
  <c r="P60" i="4"/>
  <c r="P22" i="4"/>
  <c r="P12" i="4"/>
  <c r="P5" i="4"/>
  <c r="O60" i="4"/>
  <c r="O22" i="4"/>
  <c r="O5" i="4"/>
  <c r="L7" i="10" s="1"/>
  <c r="N60" i="4"/>
  <c r="N12" i="4"/>
  <c r="N5" i="4"/>
  <c r="M60" i="4"/>
  <c r="M22" i="4"/>
  <c r="M5" i="4"/>
  <c r="L60" i="4"/>
  <c r="L12" i="4"/>
  <c r="L5" i="4"/>
  <c r="K60" i="4"/>
  <c r="K22" i="4"/>
  <c r="K5" i="4"/>
  <c r="J15" i="10" s="1"/>
  <c r="K15" i="10" s="1"/>
  <c r="J60" i="4"/>
  <c r="J12" i="4"/>
  <c r="J5" i="4"/>
  <c r="I60" i="4"/>
  <c r="I22" i="4"/>
  <c r="I5" i="4"/>
  <c r="H60" i="4"/>
  <c r="H22" i="4"/>
  <c r="H12" i="4"/>
  <c r="H5" i="4"/>
  <c r="G60" i="4"/>
  <c r="G22" i="4"/>
  <c r="G5" i="4"/>
  <c r="F60" i="4"/>
  <c r="F12" i="4"/>
  <c r="F5" i="4"/>
  <c r="E60" i="4"/>
  <c r="E22" i="4"/>
  <c r="E5" i="4"/>
  <c r="E15" i="10" s="1"/>
  <c r="F15" i="10" s="1"/>
  <c r="D60" i="4"/>
  <c r="D12" i="4"/>
  <c r="D5" i="4"/>
  <c r="S6" i="10" l="1"/>
  <c r="G32" i="10"/>
  <c r="G24" i="10"/>
  <c r="G27" i="10"/>
  <c r="G23" i="10"/>
  <c r="G19" i="10"/>
  <c r="G22" i="10" s="1"/>
  <c r="P52" i="10"/>
  <c r="AA6" i="10"/>
  <c r="E6" i="10"/>
  <c r="G20" i="10"/>
  <c r="J6" i="10"/>
  <c r="L6" i="10"/>
  <c r="L20" i="10" s="1"/>
  <c r="O6" i="10"/>
  <c r="V17" i="10"/>
  <c r="V46" i="10" s="1"/>
  <c r="X6" i="10"/>
  <c r="U17" i="10" s="1"/>
  <c r="X17" i="10"/>
  <c r="AA17" i="10"/>
  <c r="AA46" i="10" s="1"/>
  <c r="M45" i="10"/>
  <c r="P39" i="10" s="1"/>
  <c r="P42" i="10" s="1"/>
  <c r="P15" i="10"/>
  <c r="P17" i="10" s="1"/>
  <c r="W17" i="10"/>
  <c r="AB38" i="10"/>
  <c r="J7" i="10"/>
  <c r="K7" i="10" s="1"/>
  <c r="Z46" i="10"/>
  <c r="G30" i="10" l="1"/>
  <c r="G31" i="10" s="1"/>
  <c r="G29" i="10" s="1"/>
  <c r="G33" i="10" s="1"/>
  <c r="G34" i="10" s="1"/>
  <c r="G21" i="10"/>
  <c r="G26" i="10" s="1"/>
  <c r="G25" i="10" s="1"/>
  <c r="G28" i="10" s="1"/>
  <c r="AB46" i="10"/>
  <c r="AB53" i="10"/>
  <c r="H11" i="16" s="1"/>
  <c r="AB39" i="10"/>
  <c r="AB52" i="10"/>
  <c r="AB42" i="10"/>
  <c r="AB6" i="10"/>
  <c r="AB13" i="10" s="1"/>
  <c r="AA13" i="10"/>
  <c r="L24" i="10"/>
  <c r="X13" i="10"/>
  <c r="U46" i="10"/>
  <c r="W13" i="10"/>
  <c r="K6" i="10"/>
  <c r="K17" i="10" s="1"/>
  <c r="I17" i="10"/>
  <c r="I45" i="10" s="1"/>
  <c r="H12" i="10"/>
  <c r="I12" i="10"/>
  <c r="J38" i="10"/>
  <c r="H17" i="10"/>
  <c r="L23" i="10"/>
  <c r="L19" i="10"/>
  <c r="L22" i="10" s="1"/>
  <c r="V13" i="10"/>
  <c r="W38" i="10"/>
  <c r="L27" i="10"/>
  <c r="L32" i="10"/>
  <c r="U13" i="10"/>
  <c r="O12" i="10"/>
  <c r="P12" i="10" s="1"/>
  <c r="P45" i="10" s="1"/>
  <c r="P6" i="10"/>
  <c r="F6" i="10"/>
  <c r="E38" i="10"/>
  <c r="C17" i="10"/>
  <c r="E12" i="10"/>
  <c r="D17" i="10"/>
  <c r="D45" i="10" s="1"/>
  <c r="D12" i="10"/>
  <c r="C12" i="10"/>
  <c r="T6" i="10"/>
  <c r="S13" i="10" s="1"/>
  <c r="S38" i="10"/>
  <c r="T17" i="10"/>
  <c r="T38" i="10" l="1"/>
  <c r="H45" i="10"/>
  <c r="S17" i="10"/>
  <c r="S46" i="10" s="1"/>
  <c r="Q17" i="10"/>
  <c r="C45" i="10"/>
  <c r="F12" i="10"/>
  <c r="P47" i="10"/>
  <c r="P48" i="10" s="1"/>
  <c r="P51" i="10" s="1"/>
  <c r="P53" i="10" s="1"/>
  <c r="E11" i="16" s="1"/>
  <c r="L30" i="10"/>
  <c r="L31" i="10" s="1"/>
  <c r="L29" i="10" s="1"/>
  <c r="L33" i="10" s="1"/>
  <c r="L34" i="10" s="1"/>
  <c r="L21" i="10"/>
  <c r="L26" i="10" s="1"/>
  <c r="L25" i="10" s="1"/>
  <c r="L28" i="10" s="1"/>
  <c r="K38" i="10"/>
  <c r="J45" i="10"/>
  <c r="R13" i="10"/>
  <c r="R17" i="10"/>
  <c r="R46" i="10" s="1"/>
  <c r="F38" i="10"/>
  <c r="Q13" i="10"/>
  <c r="F17" i="10"/>
  <c r="E17" i="10"/>
  <c r="E45" i="10" s="1"/>
  <c r="X38" i="10"/>
  <c r="W46" i="10"/>
  <c r="J17" i="10"/>
  <c r="J12" i="10"/>
  <c r="K12" i="10" s="1"/>
  <c r="AB48" i="10"/>
  <c r="AB51" i="10" s="1"/>
  <c r="AB47" i="10"/>
  <c r="X52" i="10" l="1"/>
  <c r="X46" i="10"/>
  <c r="X42" i="10"/>
  <c r="X39" i="10"/>
  <c r="X53" i="10"/>
  <c r="G11" i="16" s="1"/>
  <c r="F53" i="10"/>
  <c r="C11" i="16" s="1"/>
  <c r="F39" i="10"/>
  <c r="F52" i="10"/>
  <c r="F45" i="10"/>
  <c r="F42" i="10"/>
  <c r="Q46" i="10"/>
  <c r="T13" i="10"/>
  <c r="T53" i="10"/>
  <c r="F11" i="16" s="1"/>
  <c r="T39" i="10"/>
  <c r="T52" i="10"/>
  <c r="T46" i="10"/>
  <c r="T42" i="10"/>
  <c r="K52" i="10"/>
  <c r="K45" i="10"/>
  <c r="K42" i="10"/>
  <c r="K39" i="10"/>
  <c r="K53" i="10"/>
  <c r="D11" i="16" s="1"/>
  <c r="X48" i="10" l="1"/>
  <c r="X51" i="10" s="1"/>
  <c r="X47" i="10"/>
  <c r="F48" i="10"/>
  <c r="F51" i="10" s="1"/>
  <c r="F47" i="10"/>
  <c r="T48" i="10"/>
  <c r="T51" i="10" s="1"/>
  <c r="T47" i="10"/>
  <c r="K48" i="10"/>
  <c r="K51" i="10" s="1"/>
  <c r="K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<sst xmlns="http://schemas.openxmlformats.org/spreadsheetml/2006/main" count="570" uniqueCount="508">
  <si>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</si>
  <si>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</si>
  <si>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</si>
  <si>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</si>
  <si>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</si>
  <si>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</si>
  <si>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</si>
  <si>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</si>
  <si>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</si>
  <si>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</si>
  <si>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</si>
  <si>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</si>
  <si>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</si>
  <si>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</si>
  <si>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</si>
  <si>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</si>
  <si>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</si>
  <si>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</si>
  <si>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</si>
  <si>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</si>
  <si>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</si>
  <si>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</si>
  <si>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</si>
  <si>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</si>
  <si>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</si>
  <si>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</si>
  <si>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</si>
  <si>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</si>
  <si>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</si>
  <si>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</si>
  <si>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</si>
  <si>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</si>
  <si>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</si>
  <si>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</si>
  <si>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</si>
  <si>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</si>
  <si>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</si>
  <si>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</si>
  <si>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</si>
  <si>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</si>
  <si>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</si>
  <si>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</si>
  <si>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</si>
  <si>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</si>
  <si>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</si>
  <si>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</si>
  <si>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</si>
  <si>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</si>
  <si>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</si>
  <si>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</si>
  <si>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</si>
  <si>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</si>
  <si>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</si>
  <si>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</si>
  <si>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</si>
  <si>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</si>
  <si>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</si>
  <si>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</si>
  <si>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</si>
  <si>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</si>
  <si>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</si>
  <si>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</si>
  <si>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</si>
  <si>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</si>
  <si>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</si>
  <si>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</si>
  <si>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</si>
  <si>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</si>
  <si>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</si>
  <si>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</si>
  <si>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</si>
  <si>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</si>
  <si>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</si>
  <si>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</si>
  <si>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</si>
  <si>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</si>
  <si>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</si>
  <si>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</si>
  <si>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</si>
  <si>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</si>
  <si>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</si>
  <si>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</si>
  <si>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</si>
  <si>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</si>
  <si>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</si>
  <si>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</si>
  <si>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</si>
  <si>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</si>
  <si>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</si>
  <si>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</si>
  <si>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</si>
  <si>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</si>
  <si>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</si>
  <si>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</si>
  <si>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</si>
  <si>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</si>
  <si>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</si>
  <si>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</si>
  <si>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</si>
  <si>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</si>
  <si>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</si>
  <si>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</si>
  <si>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</si>
  <si>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</si>
  <si>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</si>
  <si>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</si>
  <si>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</si>
  <si>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</si>
  <si>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</si>
  <si>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</si>
  <si>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</si>
  <si>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</si>
  <si>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</si>
  <si>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</si>
  <si>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</si>
  <si>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</si>
  <si>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</si>
  <si>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</si>
  <si>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</si>
  <si>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</si>
  <si>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</si>
  <si>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</si>
  <si>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</si>
  <si>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</si>
  <si>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</si>
  <si>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</si>
  <si>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</si>
  <si>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</si>
  <si>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</si>
  <si>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</si>
  <si>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</si>
  <si>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</si>
  <si>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</si>
  <si>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</si>
  <si>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</si>
  <si>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</si>
  <si>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</si>
  <si>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</si>
  <si>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</si>
  <si>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</si>
  <si>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</si>
  <si>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</si>
  <si>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</si>
  <si>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</si>
  <si>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</si>
  <si>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</si>
  <si>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</si>
  <si>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</si>
  <si>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</si>
  <si>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</si>
  <si>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</si>
  <si>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</si>
  <si>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</si>
  <si>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</si>
  <si>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</si>
  <si>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</si>
  <si>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</si>
  <si>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</si>
  <si>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</si>
  <si>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</si>
  <si>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</si>
  <si>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</si>
  <si>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</si>
  <si>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</si>
  <si>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</si>
  <si>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</si>
  <si>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</si>
  <si>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</si>
  <si>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</si>
  <si>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</si>
  <si>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</si>
  <si>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</si>
  <si>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</si>
  <si>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</si>
  <si>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</si>
  <si>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</si>
  <si>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</si>
  <si>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</si>
  <si>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</si>
  <si>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</si>
  <si>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</si>
  <si>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</si>
  <si>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</si>
  <si>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</si>
  <si>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</si>
  <si>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</si>
  <si>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</si>
  <si>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</si>
  <si>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</si>
  <si>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</si>
  <si>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</si>
  <si>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</si>
  <si>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</si>
  <si>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</si>
  <si>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</si>
  <si>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</si>
  <si>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</si>
  <si>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</si>
  <si>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</si>
  <si>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</si>
  <si>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</si>
  <si>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</si>
  <si>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</si>
  <si>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</si>
  <si>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</si>
  <si>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</si>
  <si>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</si>
  <si>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</si>
  <si>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</si>
  <si>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</si>
  <si>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</si>
  <si>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</si>
  <si>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</si>
  <si>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</si>
  <si>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</si>
  <si>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</si>
  <si>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</si>
  <si>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</si>
  <si>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</si>
  <si>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</si>
  <si>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</si>
  <si>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</si>
  <si>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</si>
  <si>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</si>
  <si>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</si>
  <si>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</si>
  <si>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</si>
  <si>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</si>
  <si>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</si>
  <si>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</si>
  <si>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</si>
  <si>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</si>
  <si>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</si>
  <si>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</si>
  <si>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</si>
  <si>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</si>
  <si>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</si>
  <si>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</si>
  <si>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</si>
  <si>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</si>
  <si>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</si>
  <si>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</si>
  <si>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</si>
  <si>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</si>
  <si>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</si>
  <si>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</si>
  <si>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</si>
  <si>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</si>
  <si>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</si>
  <si>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</si>
  <si>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</si>
  <si>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</si>
  <si>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</si>
  <si>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</si>
  <si>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</si>
  <si>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</si>
  <si>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</si>
  <si>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</si>
  <si>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</si>
  <si>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</si>
  <si>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</si>
  <si>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</si>
  <si>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</si>
  <si>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</si>
  <si>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</si>
  <si>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</si>
  <si>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</si>
  <si>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</si>
  <si>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</si>
  <si>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</si>
  <si>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</si>
  <si>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</si>
  <si>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</si>
  <si>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</si>
  <si>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</si>
  <si>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</si>
  <si>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</si>
  <si>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</si>
  <si>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</si>
  <si>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</si>
  <si>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</si>
  <si>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</si>
  <si>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</si>
  <si>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</si>
  <si>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</si>
  <si>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</si>
  <si>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</si>
  <si>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</si>
  <si>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</si>
  <si>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</si>
  <si>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</si>
  <si>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</si>
  <si>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</si>
  <si>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</si>
  <si>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</si>
  <si>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</si>
  <si>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</si>
  <si>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</si>
  <si>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</si>
  <si>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</si>
  <si>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</si>
  <si>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</si>
  <si>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</si>
  <si>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</si>
  <si>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</si>
  <si>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</si>
  <si>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</si>
  <si>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</si>
  <si>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</si>
  <si>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</si>
  <si>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</si>
  <si>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</si>
  <si>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</si>
  <si>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</si>
  <si>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</si>
  <si>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</si>
  <si>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</si>
  <si>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</si>
  <si>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</si>
  <si>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</si>
  <si>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</si>
  <si>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</si>
  <si>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</si>
  <si>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</si>
  <si>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</si>
  <si>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</si>
  <si>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</si>
  <si>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</si>
  <si>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</si>
  <si>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</si>
  <si>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</si>
  <si>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</si>
  <si>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</si>
  <si>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</si>
  <si>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</si>
  <si>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</si>
  <si>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</si>
  <si>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</si>
  <si>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</si>
  <si>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</si>
  <si>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</si>
  <si>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</si>
  <si>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</si>
  <si>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</si>
  <si>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</si>
  <si>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</si>
  <si>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</si>
  <si>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</si>
  <si>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</si>
  <si>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</si>
  <si>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</si>
  <si>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</si>
  <si>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</si>
  <si>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</si>
  <si>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</si>
  <si>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</si>
  <si>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</si>
  <si>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</si>
  <si>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</si>
  <si>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</si>
  <si>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</si>
  <si>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</si>
  <si>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</si>
  <si>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</si>
  <si>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</si>
  <si>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</si>
  <si>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</si>
  <si>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</si>
  <si>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</si>
  <si>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</si>
  <si>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</si>
  <si>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</si>
  <si>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</si>
  <si>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</si>
  <si>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</si>
  <si>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</si>
  <si>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</si>
  <si>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</si>
  <si>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</si>
  <si>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</si>
  <si>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</si>
  <si>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</si>
  <si>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</si>
  <si>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</si>
  <si>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</si>
  <si>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</si>
  <si>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</si>
  <si>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</si>
  <si>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</si>
  <si>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</si>
  <si>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</si>
  <si>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</si>
  <si>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</si>
  <si>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</si>
  <si>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</si>
  <si>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</si>
  <si>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</si>
  <si>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</si>
  <si>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</si>
  <si>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</si>
  <si>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</si>
  <si>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</si>
  <si>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</si>
  <si>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</si>
  <si>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</si>
  <si>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</si>
  <si>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</si>
  <si>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</si>
  <si>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</si>
  <si>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</si>
  <si>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</si>
  <si>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</si>
  <si>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</si>
  <si>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</si>
  <si>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</si>
  <si>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</si>
  <si>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</si>
  <si>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</si>
  <si>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</si>
  <si>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</si>
  <si>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</si>
  <si>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</si>
  <si>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</si>
  <si>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</si>
  <si>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</si>
  <si>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</si>
  <si>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</si>
  <si>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</si>
  <si>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</si>
  <si>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</si>
  <si>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</si>
  <si>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</si>
  <si>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</si>
  <si>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</si>
  <si>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</si>
  <si>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</si>
  <si>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</si>
  <si>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</si>
  <si>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</si>
  <si>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</si>
  <si>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</si>
  <si>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</si>
  <si>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</si>
  <si>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</si>
  <si>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</si>
  <si>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</si>
  <si>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</si>
  <si>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</si>
  <si>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</si>
  <si>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</si>
  <si>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</si>
  <si>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</si>
  <si>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</si>
  <si>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</si>
  <si>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</si>
  <si>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</si>
  <si>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</si>
  <si>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</si>
  <si>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</si>
  <si>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</si>
  <si>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</si>
  <si>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</si>
  <si>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</si>
  <si>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</si>
  <si>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</si>
  <si>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</si>
  <si>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</si>
  <si>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</si>
  <si>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</si>
  <si>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</si>
  <si>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</si>
  <si>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</si>
  <si>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</si>
  <si>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</si>
  <si>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</si>
  <si>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</si>
  <si>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</si>
  <si>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</si>
  <si>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</si>
  <si>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</si>
  <si>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</si>
  <si>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</si>
  <si>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</si>
  <si>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</si>
  <si>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</si>
  <si>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</si>
  <si>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</si>
  <si>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</si>
  <si>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</si>
  <si>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</si>
  <si>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</si>
  <si>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</si>
  <si>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</si>
  <si>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</si>
  <si>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</si>
  <si>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</si>
  <si>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</si>
  <si>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</si>
  <si>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</si>
  <si>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</si>
  <si>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</si>
  <si>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</si>
  <si>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</si>
  <si>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</si>
  <si>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</si>
  <si>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56766</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</si>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</sst>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1278775</v>
      </c>
      <c r="Q5" s="219">
        <f>SUM('Pt 2 Premium and Claims'!Q$5,'Pt 2 Premium and Claims'!Q$6,-'Pt 2 Premium and Claims'!Q$7,-'Pt 2 Premium and Claims'!Q$13,'Pt 2 Premium and Claims'!Q$14)</f>
        <v>1348276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3655061</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36</v>
      </c>
      <c r="Q7" s="223">
        <v>36</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103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9040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-1809</v>
      </c>
      <c r="E12" s="219">
        <f>'Pt 2 Premium and Claims'!E$54</f>
        <v>-275</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1466443</v>
      </c>
      <c r="Q12" s="219">
        <f>'Pt 2 Premium and Claims'!Q$54</f>
        <v>2149922</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1895066</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183761</v>
      </c>
      <c r="Q13" s="223">
        <v>183323</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27804</v>
      </c>
      <c r="Q14" s="223">
        <v>32508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394</v>
      </c>
      <c r="AU14" s="226">
        <v>0</v>
      </c>
      <c r="AV14" s="296"/>
      <c r="AW14" s="303"/>
    </row>
    <row r="15" spans="1:49" ht="38.25" x14ac:dyDescent="0.2">
      <c r="B15" s="245" t="s">
        <v>232</v>
      </c>
      <c r="C15" s="209" t="s">
        <v>7</v>
      </c>
      <c r="D15" s="222">
        <v>1</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589</v>
      </c>
      <c r="E25" s="223">
        <v>589</v>
      </c>
      <c r="F25" s="223"/>
      <c r="G25" s="223"/>
      <c r="H25" s="223"/>
      <c r="I25" s="222">
        <v>0</v>
      </c>
      <c r="J25" s="222">
        <v>0</v>
      </c>
      <c r="K25" s="223">
        <v>0</v>
      </c>
      <c r="L25" s="223"/>
      <c r="M25" s="223"/>
      <c r="N25" s="223"/>
      <c r="O25" s="222"/>
      <c r="P25" s="222">
        <v>-156497</v>
      </c>
      <c r="Q25" s="223">
        <v>-156497</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450949</v>
      </c>
      <c r="AU25" s="226">
        <v>0</v>
      </c>
      <c r="AV25" s="226">
        <v>618407</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3303</v>
      </c>
      <c r="Q26" s="223">
        <v>3303</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77550</v>
      </c>
      <c r="Q27" s="223">
        <v>77550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27511</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10837</v>
      </c>
      <c r="Q28" s="223">
        <v>10837</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4894</v>
      </c>
      <c r="AU28" s="226">
        <v>0</v>
      </c>
      <c r="AV28" s="226">
        <v>106473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4143</v>
      </c>
      <c r="Q30" s="223">
        <v>4143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11299</v>
      </c>
      <c r="AU30" s="226">
        <v>0</v>
      </c>
      <c r="AV30" s="226">
        <v>2784</v>
      </c>
      <c r="AW30" s="303"/>
    </row>
    <row r="31" spans="1:49" x14ac:dyDescent="0.2">
      <c r="B31" s="248" t="s">
        <v>247</v>
      </c>
      <c r="C31" s="209"/>
      <c r="D31" s="222">
        <v>0</v>
      </c>
      <c r="E31" s="223">
        <v>0</v>
      </c>
      <c r="F31" s="223"/>
      <c r="G31" s="223"/>
      <c r="H31" s="223"/>
      <c r="I31" s="222">
        <v>0</v>
      </c>
      <c r="J31" s="222">
        <v>0</v>
      </c>
      <c r="K31" s="223">
        <v>0</v>
      </c>
      <c r="L31" s="223"/>
      <c r="M31" s="223"/>
      <c r="N31" s="223"/>
      <c r="O31" s="222"/>
      <c r="P31" s="222">
        <v>21987</v>
      </c>
      <c r="Q31" s="223">
        <v>21987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62845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61704</v>
      </c>
      <c r="Q34" s="223">
        <v>61704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-3506</v>
      </c>
      <c r="Q35" s="223">
        <v>-3506</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5150</v>
      </c>
      <c r="AU35" s="226">
        <v>0</v>
      </c>
      <c r="AV35" s="226">
        <v>-23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2981</v>
      </c>
      <c r="Q37" s="231">
        <v>2980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22</v>
      </c>
      <c r="AU37" s="232">
        <v>0</v>
      </c>
      <c r="AV37" s="232">
        <v>111737</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648</v>
      </c>
      <c r="Q38" s="223">
        <v>648</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15981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195</v>
      </c>
      <c r="Q39" s="223">
        <v>192</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17</v>
      </c>
      <c r="AU39" s="226">
        <v>0</v>
      </c>
      <c r="AV39" s="226">
        <v>2718</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62</v>
      </c>
      <c r="Q40" s="223">
        <v>62</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64</v>
      </c>
      <c r="AU40" s="226">
        <v>0</v>
      </c>
      <c r="AV40" s="226">
        <v>17505</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1526</v>
      </c>
      <c r="Q41" s="223">
        <v>1526</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398</v>
      </c>
      <c r="AU41" s="226">
        <v>0</v>
      </c>
      <c r="AV41" s="226">
        <v>49637</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166</v>
      </c>
      <c r="Q42" s="223">
        <v>166</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2025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44332</v>
      </c>
      <c r="Q44" s="231">
        <v>44170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2539</v>
      </c>
      <c r="AU44" s="232">
        <v>0</v>
      </c>
      <c r="AV44" s="232">
        <v>555582</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790</v>
      </c>
      <c r="Q45" s="223">
        <v>790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174</v>
      </c>
      <c r="AU45" s="226">
        <v>0</v>
      </c>
      <c r="AV45" s="226">
        <v>-482</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22982</v>
      </c>
      <c r="Q46" s="223">
        <v>22982</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12720</v>
      </c>
      <c r="AU46" s="226">
        <v>0</v>
      </c>
      <c r="AV46" s="226">
        <v>177972</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28468</v>
      </c>
      <c r="Q47" s="223">
        <v>28468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117820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9506</v>
      </c>
      <c r="Q49" s="223">
        <v>9506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-71</v>
      </c>
      <c r="AU49" s="226">
        <v>0</v>
      </c>
      <c r="AV49" s="226">
        <v>65</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29036</v>
      </c>
      <c r="Q50" s="223">
        <v>29036</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6757</v>
      </c>
      <c r="AU50" s="226">
        <v>0</v>
      </c>
      <c r="AV50" s="226">
        <v>167</v>
      </c>
      <c r="AW50" s="303"/>
    </row>
    <row r="51" spans="2:49" x14ac:dyDescent="0.2">
      <c r="B51" s="245" t="s">
        <v>266</v>
      </c>
      <c r="C51" s="209"/>
      <c r="D51" s="222">
        <v>0</v>
      </c>
      <c r="E51" s="223">
        <v>0</v>
      </c>
      <c r="F51" s="223"/>
      <c r="G51" s="223"/>
      <c r="H51" s="223"/>
      <c r="I51" s="222">
        <v>0</v>
      </c>
      <c r="J51" s="222">
        <v>0</v>
      </c>
      <c r="K51" s="223">
        <v>0</v>
      </c>
      <c r="L51" s="223"/>
      <c r="M51" s="223"/>
      <c r="N51" s="223"/>
      <c r="O51" s="222"/>
      <c r="P51" s="222">
        <v>53896</v>
      </c>
      <c r="Q51" s="223">
        <v>53896</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159421</v>
      </c>
      <c r="AU51" s="226">
        <v>0</v>
      </c>
      <c r="AV51" s="226">
        <v>2874345</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261</v>
      </c>
      <c r="Q53" s="223">
        <v>261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712</v>
      </c>
      <c r="AU53" s="226">
        <v>0</v>
      </c>
      <c r="AV53" s="226">
        <v>5966</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5815936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767</v>
      </c>
      <c r="Q56" s="235">
        <v>767</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2352</v>
      </c>
      <c r="AU56" s="236">
        <v>0</v>
      </c>
      <c r="AV56" s="236">
        <v>18862</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1197</v>
      </c>
      <c r="Q57" s="238">
        <v>1197</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3567</v>
      </c>
      <c r="AU57" s="239">
        <v>0</v>
      </c>
      <c r="AV57" s="239">
        <v>35495</v>
      </c>
      <c r="AW57" s="295"/>
    </row>
    <row r="58" spans="2:49" x14ac:dyDescent="0.2">
      <c r="B58" s="251" t="s">
        <v>273</v>
      </c>
      <c r="C58" s="209" t="s">
        <v>26</v>
      </c>
      <c r="D58" s="315"/>
      <c r="E58" s="316"/>
      <c r="F58" s="316"/>
      <c r="G58" s="316"/>
      <c r="H58" s="316"/>
      <c r="I58" s="315"/>
      <c r="J58" s="237">
        <v>0</v>
      </c>
      <c r="K58" s="238">
        <v>0</v>
      </c>
      <c r="L58" s="238"/>
      <c r="M58" s="238"/>
      <c r="N58" s="238"/>
      <c r="O58" s="237"/>
      <c r="P58" s="237">
        <v>4</v>
      </c>
      <c r="Q58" s="238">
        <v>4</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57</v>
      </c>
      <c r="AU58" s="239">
        <v>0</v>
      </c>
      <c r="AV58" s="239">
        <v>32</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9203</v>
      </c>
      <c r="Q59" s="238">
        <v>9203</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69132</v>
      </c>
      <c r="AU59" s="239">
        <v>0</v>
      </c>
      <c r="AV59" s="239">
        <v>382414</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766.91666666666663</v>
      </c>
      <c r="Q60" s="241">
        <f>Q$59/12</f>
        <v>766.91666666666663</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5761</v>
      </c>
      <c r="AU60" s="242">
        <f>AU$59/12</f>
        <v>0</v>
      </c>
      <c r="AV60" s="242">
        <f>AV$59/12</f>
        <v>31867.833333333332</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182617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60179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-22361</v>
      </c>
      <c r="E5" s="332">
        <v>-22361</v>
      </c>
      <c r="F5" s="332"/>
      <c r="G5" s="334"/>
      <c r="H5" s="334"/>
      <c r="I5" s="331">
        <v>0</v>
      </c>
      <c r="J5" s="331">
        <v>0</v>
      </c>
      <c r="K5" s="332">
        <v>0</v>
      </c>
      <c r="L5" s="332"/>
      <c r="M5" s="332"/>
      <c r="N5" s="332"/>
      <c r="O5" s="331"/>
      <c r="P5" s="331">
        <v>1644838</v>
      </c>
      <c r="Q5" s="332">
        <v>1641750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3614218</v>
      </c>
      <c r="AU5" s="333">
        <v>0</v>
      </c>
      <c r="AV5" s="375"/>
      <c r="AW5" s="379"/>
    </row>
    <row r="6" spans="2:49" x14ac:dyDescent="0.2">
      <c r="B6" s="349" t="s">
        <v>278</v>
      </c>
      <c r="C6" s="337" t="s">
        <v>8</v>
      </c>
      <c r="D6" s="324">
        <v>22361</v>
      </c>
      <c r="E6" s="325">
        <v>22361</v>
      </c>
      <c r="F6" s="325"/>
      <c r="G6" s="326"/>
      <c r="H6" s="326"/>
      <c r="I6" s="324">
        <v>0</v>
      </c>
      <c r="J6" s="324">
        <v>0</v>
      </c>
      <c r="K6" s="325">
        <v>0</v>
      </c>
      <c r="L6" s="325"/>
      <c r="M6" s="325"/>
      <c r="N6" s="325"/>
      <c r="O6" s="324"/>
      <c r="P6" s="324">
        <v>87440</v>
      </c>
      <c r="Q6" s="325">
        <v>87440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68820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24037</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30517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7906</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7906</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34842</v>
      </c>
      <c r="Q11" s="325">
        <v>-2034</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25293</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429466</v>
      </c>
      <c r="Q13" s="325">
        <v>380914</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-2540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v>
      </c>
      <c r="E23" s="368"/>
      <c r="F23" s="368"/>
      <c r="G23" s="368"/>
      <c r="H23" s="368"/>
      <c r="I23" s="370"/>
      <c r="J23" s="324">
        <v>0</v>
      </c>
      <c r="K23" s="368"/>
      <c r="L23" s="368"/>
      <c r="M23" s="368"/>
      <c r="N23" s="368"/>
      <c r="O23" s="370"/>
      <c r="P23" s="324">
        <v>1881427</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1775657</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2472336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619721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382999</v>
      </c>
      <c r="AU26" s="327">
        <v>0</v>
      </c>
      <c r="AV26" s="374"/>
      <c r="AW26" s="380"/>
    </row>
    <row r="27" spans="2:49" s="11" customFormat="1" ht="25.5" x14ac:dyDescent="0.2">
      <c r="B27" s="351" t="s">
        <v>85</v>
      </c>
      <c r="C27" s="337"/>
      <c r="D27" s="371"/>
      <c r="E27" s="325">
        <v>-259</v>
      </c>
      <c r="F27" s="325"/>
      <c r="G27" s="325"/>
      <c r="H27" s="325"/>
      <c r="I27" s="324">
        <v>0</v>
      </c>
      <c r="J27" s="371"/>
      <c r="K27" s="325">
        <v>0</v>
      </c>
      <c r="L27" s="325"/>
      <c r="M27" s="325"/>
      <c r="N27" s="325"/>
      <c r="O27" s="324"/>
      <c r="P27" s="371"/>
      <c r="Q27" s="325">
        <v>-315289</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1787</v>
      </c>
      <c r="E28" s="369"/>
      <c r="F28" s="369"/>
      <c r="G28" s="369"/>
      <c r="H28" s="369"/>
      <c r="I28" s="371"/>
      <c r="J28" s="324">
        <v>0</v>
      </c>
      <c r="K28" s="369"/>
      <c r="L28" s="369"/>
      <c r="M28" s="369"/>
      <c r="N28" s="369"/>
      <c r="O28" s="371"/>
      <c r="P28" s="324">
        <v>1051322</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294245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62898</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7</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32243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-4125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-4125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16</v>
      </c>
      <c r="E36" s="325">
        <v>16</v>
      </c>
      <c r="F36" s="325"/>
      <c r="G36" s="325"/>
      <c r="H36" s="325"/>
      <c r="I36" s="324">
        <v>0</v>
      </c>
      <c r="J36" s="324">
        <v>0</v>
      </c>
      <c r="K36" s="325">
        <v>0</v>
      </c>
      <c r="L36" s="325"/>
      <c r="M36" s="325"/>
      <c r="N36" s="325"/>
      <c r="O36" s="324"/>
      <c r="P36" s="324">
        <v>8885</v>
      </c>
      <c r="Q36" s="325">
        <v>8885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7906</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7906</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34842</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-2034</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25293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13</v>
      </c>
      <c r="Q45" s="325">
        <v>13</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9710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21869</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-1809</v>
      </c>
      <c r="E54" s="329">
        <f>E24+E27+E31+E35-E36+E39+E42+E45+E46-E49+E51+E52+E53</f>
        <v>-275</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1466443</v>
      </c>
      <c r="Q54" s="329">
        <f>Q24+Q27+Q31+Q35-Q36+Q39+Q42+Q45+Q46-Q49+Q51+Q52+Q53</f>
        <v>2149922</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1895066</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1302521</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3539</v>
      </c>
      <c r="D6" s="404">
        <v>-12295</v>
      </c>
      <c r="E6" s="406">
        <f>SUM('Pt 1 Summary of Data'!E$12,'Pt 1 Summary of Data'!E$22)+SUM('Pt 1 Summary of Data'!G$12,'Pt 1 Summary of Data'!G$22)-SUM('Pt 1 Summary of Data'!H$12,'Pt 1 Summary of Data'!H$22)</f>
        <v>-275</v>
      </c>
      <c r="F6" s="406">
        <f>SUM(C6:E6)</f>
        <v>-9031</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1683152</v>
      </c>
      <c r="N6" s="404">
        <v>2089040</v>
      </c>
      <c r="O6" s="406">
        <f>SUM('Pt 1 Summary of Data'!Q$12,'Pt 1 Summary of Data'!Q$22)+SUM('Pt 1 Summary of Data'!S$12,'Pt 1 Summary of Data'!S$22)-SUM('Pt 1 Summary of Data'!T$12,'Pt 1 Summary of Data'!T$22)</f>
        <v>2149922</v>
      </c>
      <c r="P6" s="406">
        <f>SUM(M6:O6)</f>
        <v>5922114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113</v>
      </c>
      <c r="D7" s="404">
        <v>7</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120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7542</v>
      </c>
      <c r="N7" s="404">
        <v>4790</v>
      </c>
      <c r="O7" s="406">
        <f>SUM('Pt 1 Summary of Data'!Q$37:Q$41)+SUM('Pt 1 Summary of Data'!S$37:S$41)-SUM('Pt 1 Summary of Data'!T$37:T$41)+MAX(0,MIN('Pt 1 Summary of Data'!Q$42+'Pt 1 Summary of Data'!S$42-'Pt 1 Summary of Data'!T$42,0.3%*('Pt 1 Summary of Data'!Q$5+'Pt 1 Summary of Data'!S$5-'Pt 1 Summary of Data'!T$5)))</f>
        <v>5574</v>
      </c>
      <c r="P7" s="406">
        <f>SUM(M7:O7)</f>
        <v>17906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3652</v>
      </c>
      <c r="D12" s="406">
        <f>SUM(D$6:D$7) - SUM(D$8:D$11)+IF(AND(OR('Company Information'!$C$12="District of Columbia",'Company Information'!$C$12="Massachusetts",'Company Information'!$C$12="Vermont"),SUM($C$6:$F$11,$C$15:$F$16,$C$38:$D$38)&lt;&gt;0),SUM(I$6:I$7) - SUM(I$10:I$11),0)</f>
        <v>-12288</v>
      </c>
      <c r="E12" s="406">
        <f>SUM(E$6:E$7)-SUM(E$8:E$11)+IF(AND(OR('Company Information'!$C$12="District of Columbia",'Company Information'!$C$12="Massachusetts",'Company Information'!$C$12="Vermont"),SUM($C$6:$F$11,$C$15:$F$16,$C$38:$D$38)&lt;&gt;0),SUM(J$6:J$7)-SUM(J$10:J$11),0)</f>
        <v>-275</v>
      </c>
      <c r="F12" s="406">
        <f>IFERROR(SUM(C$12:E$12)+C$17*MAX(0,E$50-C$50)+D$17*MAX(0,E$50-D$50),0)</f>
        <v>-8911</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1690694</v>
      </c>
      <c r="N12" s="406">
        <f>SUM(N$6:N$7)</f>
        <v>2093830</v>
      </c>
      <c r="O12" s="406">
        <f>SUM(O$6:O$7)</f>
        <v>2155496</v>
      </c>
      <c r="P12" s="406">
        <f>SUM(M$12:O$12)+M$17*MAX(0,O$50-M$50)+N$17*MAX(0,O$50-N$50)</f>
        <v>5940020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19781</v>
      </c>
      <c r="D15" s="409">
        <v>4238</v>
      </c>
      <c r="E15" s="401">
        <f>SUM('Pt 1 Summary of Data'!E$5:E$7)+SUM('Pt 1 Summary of Data'!G$5:G$7)-SUM('Pt 1 Summary of Data'!H$5:H$7)-SUM(E$9:E$11)</f>
        <v>0</v>
      </c>
      <c r="F15" s="401">
        <f>SUM(C15:E15)</f>
        <v>24019</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1525368</v>
      </c>
      <c r="N15" s="409">
        <v>2710778</v>
      </c>
      <c r="O15" s="401">
        <f>SUM('Pt 1 Summary of Data'!Q$5:Q$7)+SUM('Pt 1 Summary of Data'!S$5:S$7)-SUM('Pt 1 Summary of Data'!T$5:T$7)+N$56</f>
        <v>1348312</v>
      </c>
      <c r="P15" s="401">
        <f>SUM(M15:O15)</f>
        <v>5584458</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3915</v>
      </c>
      <c r="D16" s="404">
        <v>7356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589</v>
      </c>
      <c r="F16" s="406">
        <f>SUM(C16:E16)</f>
        <v>11860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-107377</v>
      </c>
      <c r="N16" s="404">
        <v>256043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19521</v>
      </c>
      <c r="P16" s="406">
        <f>SUM(M16:O16)</f>
        <v>168187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15866</v>
      </c>
      <c r="D17" s="406">
        <f>D$15-D$16+IF(AND(OR('Company Information'!$C$12="District of Columbia",'Company Information'!$C$12="Massachusetts",'Company Information'!$C$12="Vermont"),SUM($C$6:$F$11,$C$15:$F$16,$C$38:$D$38)&lt;&gt;0),I$15-I$16,0)</f>
        <v>-3118</v>
      </c>
      <c r="E17" s="406">
        <f>E$15-E$16+IF(AND(OR('Company Information'!$C$12="District of Columbia",'Company Information'!$C$12="Massachusetts",'Company Information'!$C$12="Vermont"),SUM($C$6:$F$11,$C$15:$F$16,$C$38:$D$38)&lt;&gt;0),J$15-J$16,0)</f>
        <v>-589</v>
      </c>
      <c r="F17" s="406">
        <f>F$15-F$16+IF(AND(OR('Company Information'!$C$12="District of Columbia",'Company Information'!$C$12="Massachusetts",'Company Information'!$C$12="Vermont"),SUM($C$6:$F$11,$C$15:$F$16,$C$38:$D$38)&lt;&gt;0),K$15-K$16,0)</f>
        <v>12159</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1632745</v>
      </c>
      <c r="N17" s="406">
        <f>N$15-N$16</f>
        <v>2454735</v>
      </c>
      <c r="O17" s="406">
        <f>O$15-O$16</f>
        <v>1328791</v>
      </c>
      <c r="P17" s="406">
        <f>P$15-P$16</f>
        <v>5416271</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5.5724999999999998</v>
      </c>
      <c r="D38" s="411">
        <v>1.375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6.9474999999999998</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350.27170000000001</v>
      </c>
      <c r="N38" s="411">
        <v>805.35829999999999</v>
      </c>
      <c r="O38" s="438">
        <f>('Pt 1 Summary of Data'!Q$59+'Pt 1 Summary of Data'!S$59-'Pt 1 Summary of Data'!T$59)/12</f>
        <v>766.91666666666663</v>
      </c>
      <c r="P38" s="438">
        <f>SUM(M$38:O$38)</f>
        <v>1922.5466666666666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6.393403555555556E-2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6.393403555555556E-2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f>IF(OR(P$38&lt;1000,P$17&lt;=0),"",P$12/P$17)</f>
        <v>1.0966991865805829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6.393403555555556E-2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1.161</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1.161</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1328791</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26222</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9601</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767</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