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AA7" i="10"/>
  <c r="AB7" i="10" s="1"/>
  <c r="Z17" i="10"/>
  <c r="Z46" i="10" s="1"/>
  <c r="Z13" i="10"/>
  <c r="Y46" i="10"/>
  <c r="Y17" i="10"/>
  <c r="Y13" i="10"/>
  <c r="X41" i="10"/>
  <c r="X15" i="10"/>
  <c r="W16" i="10"/>
  <c r="X16" i="10" s="1"/>
  <c r="W15" i="10"/>
  <c r="T41" i="10"/>
  <c r="S16" i="10"/>
  <c r="T16" i="10" s="1"/>
  <c r="S7" i="10"/>
  <c r="T7" i="10" s="1"/>
  <c r="P41" i="10"/>
  <c r="O45" i="10"/>
  <c r="O38" i="10"/>
  <c r="P38" i="10" s="1"/>
  <c r="O16" i="10"/>
  <c r="P16" i="10" s="1"/>
  <c r="O15" i="10"/>
  <c r="O17" i="10" s="1"/>
  <c r="N45" i="10"/>
  <c r="N17" i="10"/>
  <c r="N12" i="10"/>
  <c r="M17" i="10"/>
  <c r="M12" i="10"/>
  <c r="L60" i="10"/>
  <c r="L59" i="10"/>
  <c r="L58" i="10"/>
  <c r="L36" i="10"/>
  <c r="L35" i="10"/>
  <c r="L16" i="10"/>
  <c r="L15" i="10"/>
  <c r="L10" i="10"/>
  <c r="K41" i="10"/>
  <c r="K16" i="10"/>
  <c r="K10" i="10"/>
  <c r="J16" i="10"/>
  <c r="J11" i="10"/>
  <c r="K11" i="10" s="1"/>
  <c r="J10" i="10"/>
  <c r="G60" i="10"/>
  <c r="G59" i="10"/>
  <c r="G58" i="10"/>
  <c r="G36" i="10"/>
  <c r="G35" i="10"/>
  <c r="G16" i="10"/>
  <c r="G15" i="10"/>
  <c r="G10" i="10"/>
  <c r="G9" i="10"/>
  <c r="G8" i="10"/>
  <c r="G7" i="10"/>
  <c r="F41" i="10"/>
  <c r="F7" i="10"/>
  <c r="E16" i="10"/>
  <c r="F16" i="10" s="1"/>
  <c r="E11" i="10"/>
  <c r="F11" i="10" s="1"/>
  <c r="E10" i="10"/>
  <c r="F10" i="10" s="1"/>
  <c r="E9" i="10"/>
  <c r="F9" i="10" s="1"/>
  <c r="E8" i="10"/>
  <c r="F8" i="10" s="1"/>
  <c r="E7" i="10"/>
  <c r="AU55" i="18"/>
  <c r="AU54" i="18"/>
  <c r="AT55" i="18"/>
  <c r="AT54" i="18"/>
  <c r="AT12" i="4" s="1"/>
  <c r="AS55" i="18"/>
  <c r="AS22" i="4" s="1"/>
  <c r="AS54" i="18"/>
  <c r="AC55" i="18"/>
  <c r="AC54" i="18"/>
  <c r="AC12" i="4" s="1"/>
  <c r="AB55" i="18"/>
  <c r="AB22" i="4" s="1"/>
  <c r="AB54" i="18"/>
  <c r="AA55" i="18"/>
  <c r="AA54" i="18"/>
  <c r="AA12" i="4" s="1"/>
  <c r="Z55" i="18"/>
  <c r="Z22" i="4" s="1"/>
  <c r="Z54" i="18"/>
  <c r="Y55" i="18"/>
  <c r="Y54" i="18"/>
  <c r="Y12" i="4" s="1"/>
  <c r="W6" i="10" s="1"/>
  <c r="X55" i="18"/>
  <c r="X54" i="18"/>
  <c r="W55" i="18"/>
  <c r="W54" i="18"/>
  <c r="W12" i="4" s="1"/>
  <c r="V55" i="18"/>
  <c r="V22" i="4" s="1"/>
  <c r="V54" i="18"/>
  <c r="U55" i="18"/>
  <c r="U54" i="18"/>
  <c r="U12" i="4" s="1"/>
  <c r="T55" i="18"/>
  <c r="T22" i="4" s="1"/>
  <c r="T54" i="18"/>
  <c r="S55" i="18"/>
  <c r="S54" i="18"/>
  <c r="S12" i="4" s="1"/>
  <c r="R55" i="18"/>
  <c r="R22" i="4" s="1"/>
  <c r="R54" i="18"/>
  <c r="Q55" i="18"/>
  <c r="Q54" i="18"/>
  <c r="Q12" i="4" s="1"/>
  <c r="P55" i="18"/>
  <c r="P54" i="18"/>
  <c r="O55" i="18"/>
  <c r="O54" i="18"/>
  <c r="O12" i="4" s="1"/>
  <c r="N55" i="18"/>
  <c r="N22" i="4" s="1"/>
  <c r="N54" i="18"/>
  <c r="M55" i="18"/>
  <c r="M54" i="18"/>
  <c r="M12" i="4" s="1"/>
  <c r="L55" i="18"/>
  <c r="L22" i="4" s="1"/>
  <c r="L54" i="18"/>
  <c r="K55" i="18"/>
  <c r="K54" i="18"/>
  <c r="K12" i="4" s="1"/>
  <c r="J55" i="18"/>
  <c r="J22" i="4" s="1"/>
  <c r="J54" i="18"/>
  <c r="I55" i="18"/>
  <c r="I54" i="18"/>
  <c r="I12" i="4" s="1"/>
  <c r="G6" i="10" s="1"/>
  <c r="G20" i="10" s="1"/>
  <c r="H55" i="18"/>
  <c r="H54" i="18"/>
  <c r="G55" i="18"/>
  <c r="G54" i="18"/>
  <c r="G12" i="4" s="1"/>
  <c r="F55" i="18"/>
  <c r="F22" i="4" s="1"/>
  <c r="F54" i="18"/>
  <c r="E55" i="18"/>
  <c r="E54" i="18"/>
  <c r="E12" i="4" s="1"/>
  <c r="D55" i="18"/>
  <c r="D22" i="4" s="1"/>
  <c r="D54" i="18"/>
  <c r="AV60" i="4"/>
  <c r="AU60" i="4"/>
  <c r="AU22" i="4"/>
  <c r="AU12" i="4"/>
  <c r="AU5" i="4"/>
  <c r="AT60" i="4"/>
  <c r="AT22" i="4"/>
  <c r="AT5" i="4"/>
  <c r="AS60" i="4"/>
  <c r="AS12" i="4"/>
  <c r="AS5" i="4"/>
  <c r="AC60" i="4"/>
  <c r="AC22" i="4"/>
  <c r="AC5" i="4"/>
  <c r="AB60" i="4"/>
  <c r="AB12" i="4"/>
  <c r="AB5" i="4"/>
  <c r="AA15" i="10" s="1"/>
  <c r="AB15" i="10" s="1"/>
  <c r="AB17" i="10" s="1"/>
  <c r="AA60" i="4"/>
  <c r="AA22" i="4"/>
  <c r="AA5" i="4"/>
  <c r="Z60" i="4"/>
  <c r="Z12" i="4"/>
  <c r="Z5" i="4"/>
  <c r="Y60" i="4"/>
  <c r="Y22" i="4"/>
  <c r="Y5" i="4"/>
  <c r="W7" i="10" s="1"/>
  <c r="X7" i="10" s="1"/>
  <c r="X60" i="4"/>
  <c r="X22" i="4"/>
  <c r="X12" i="4"/>
  <c r="X5" i="4"/>
  <c r="W60" i="4"/>
  <c r="W22" i="4"/>
  <c r="W5" i="4"/>
  <c r="V60" i="4"/>
  <c r="V12" i="4"/>
  <c r="V5" i="4"/>
  <c r="S15" i="10" s="1"/>
  <c r="T15" i="10" s="1"/>
  <c r="U60" i="4"/>
  <c r="U22" i="4"/>
  <c r="U5" i="4"/>
  <c r="T60" i="4"/>
  <c r="T12" i="4"/>
  <c r="T5" i="4"/>
  <c r="S60" i="4"/>
  <c r="S22" i="4"/>
  <c r="S5" i="4"/>
  <c r="R60" i="4"/>
  <c r="R12" i="4"/>
  <c r="R5" i="4"/>
  <c r="Q60" i="4"/>
  <c r="Q22" i="4"/>
  <c r="Q5" i="4"/>
  <c r="O7" i="10" s="1"/>
  <c r="P7" i="10" s="1"/>
  <c r="P60" i="4"/>
  <c r="P22" i="4"/>
  <c r="P12" i="4"/>
  <c r="P5" i="4"/>
  <c r="O60" i="4"/>
  <c r="O22" i="4"/>
  <c r="O5" i="4"/>
  <c r="L7" i="10" s="1"/>
  <c r="N60" i="4"/>
  <c r="N12" i="4"/>
  <c r="N5" i="4"/>
  <c r="M60" i="4"/>
  <c r="M22" i="4"/>
  <c r="M5" i="4"/>
  <c r="L60" i="4"/>
  <c r="L12" i="4"/>
  <c r="L5" i="4"/>
  <c r="K60" i="4"/>
  <c r="K22" i="4"/>
  <c r="K5" i="4"/>
  <c r="J15" i="10" s="1"/>
  <c r="J60" i="4"/>
  <c r="J12" i="4"/>
  <c r="J5" i="4"/>
  <c r="I60" i="4"/>
  <c r="I22" i="4"/>
  <c r="I5" i="4"/>
  <c r="H60" i="4"/>
  <c r="H22" i="4"/>
  <c r="H12" i="4"/>
  <c r="H5" i="4"/>
  <c r="G60" i="4"/>
  <c r="G22" i="4"/>
  <c r="G5" i="4"/>
  <c r="F60" i="4"/>
  <c r="F12" i="4"/>
  <c r="F5" i="4"/>
  <c r="E60" i="4"/>
  <c r="E22" i="4"/>
  <c r="E5" i="4"/>
  <c r="E15" i="10" s="1"/>
  <c r="F15" i="10" s="1"/>
  <c r="D60" i="4"/>
  <c r="D12" i="4"/>
  <c r="D5" i="4"/>
  <c r="AA6" i="10" l="1"/>
  <c r="E6" i="10"/>
  <c r="J6" i="10"/>
  <c r="L6" i="10"/>
  <c r="L20" i="10" s="1"/>
  <c r="L27" i="10"/>
  <c r="P15" i="10"/>
  <c r="P17" i="10" s="1"/>
  <c r="W17" i="10"/>
  <c r="K15" i="10"/>
  <c r="S6" i="10"/>
  <c r="X17" i="10"/>
  <c r="AA17" i="10"/>
  <c r="O6" i="10"/>
  <c r="W13" i="10"/>
  <c r="V17" i="10"/>
  <c r="V46" i="10" s="1"/>
  <c r="U13" i="10"/>
  <c r="X6" i="10"/>
  <c r="W38" i="10" s="1"/>
  <c r="V13" i="10"/>
  <c r="M45" i="10"/>
  <c r="P39" i="10" s="1"/>
  <c r="P42" i="10" s="1"/>
  <c r="AB53" i="10"/>
  <c r="H11" i="16" s="1"/>
  <c r="AB39" i="10"/>
  <c r="AB52" i="10"/>
  <c r="AB46" i="10"/>
  <c r="AB42" i="10"/>
  <c r="G32" i="10"/>
  <c r="G24" i="10"/>
  <c r="G27" i="10"/>
  <c r="G23" i="10"/>
  <c r="G19" i="10"/>
  <c r="G22" i="10" s="1"/>
  <c r="P52" i="10"/>
  <c r="U17" i="10"/>
  <c r="J7" i="10"/>
  <c r="K7" i="10" s="1"/>
  <c r="AA46" i="10"/>
  <c r="G30" i="10" l="1"/>
  <c r="G31" i="10" s="1"/>
  <c r="G29" i="10" s="1"/>
  <c r="G33" i="10" s="1"/>
  <c r="G34" i="10" s="1"/>
  <c r="G21" i="10"/>
  <c r="G26" i="10" s="1"/>
  <c r="G25" i="10" s="1"/>
  <c r="G28" i="10" s="1"/>
  <c r="X38" i="10"/>
  <c r="W46" i="10"/>
  <c r="F6" i="10"/>
  <c r="C17" i="10" s="1"/>
  <c r="E38" i="10"/>
  <c r="L23" i="10"/>
  <c r="L32" i="10"/>
  <c r="AB6" i="10"/>
  <c r="AB13" i="10" s="1"/>
  <c r="AA13" i="10"/>
  <c r="X13" i="10"/>
  <c r="U46" i="10"/>
  <c r="AB48" i="10"/>
  <c r="AB51" i="10" s="1"/>
  <c r="AB47" i="10"/>
  <c r="O12" i="10"/>
  <c r="P12" i="10" s="1"/>
  <c r="P45" i="10" s="1"/>
  <c r="P6" i="10"/>
  <c r="L19" i="10"/>
  <c r="L22" i="10" s="1"/>
  <c r="T6" i="10"/>
  <c r="T17" i="10" s="1"/>
  <c r="Q13" i="10"/>
  <c r="S13" i="10"/>
  <c r="S17" i="10"/>
  <c r="L24" i="10"/>
  <c r="K6" i="10"/>
  <c r="J38" i="10" s="1"/>
  <c r="I12" i="10"/>
  <c r="J17" i="10"/>
  <c r="C45" i="10" l="1"/>
  <c r="K38" i="10"/>
  <c r="J45" i="10"/>
  <c r="H17" i="10"/>
  <c r="H12" i="10"/>
  <c r="D12" i="10"/>
  <c r="D17" i="10"/>
  <c r="D45" i="10" s="1"/>
  <c r="X52" i="10"/>
  <c r="X46" i="10"/>
  <c r="X42" i="10"/>
  <c r="X53" i="10"/>
  <c r="G11" i="16" s="1"/>
  <c r="X39" i="10"/>
  <c r="J12" i="10"/>
  <c r="I17" i="10"/>
  <c r="I45" i="10" s="1"/>
  <c r="R13" i="10"/>
  <c r="Q17" i="10"/>
  <c r="L30" i="10"/>
  <c r="L31" i="10" s="1"/>
  <c r="L29" i="10" s="1"/>
  <c r="L33" i="10" s="1"/>
  <c r="L34" i="10" s="1"/>
  <c r="L21" i="10"/>
  <c r="L26" i="10" s="1"/>
  <c r="L25" i="10" s="1"/>
  <c r="L28" i="10" s="1"/>
  <c r="P48" i="10"/>
  <c r="P51" i="10" s="1"/>
  <c r="P53" i="10" s="1"/>
  <c r="E11" i="16" s="1"/>
  <c r="P47" i="10"/>
  <c r="C12" i="10"/>
  <c r="E12" i="10"/>
  <c r="K17" i="10"/>
  <c r="F38" i="10"/>
  <c r="E45" i="10"/>
  <c r="E17" i="10"/>
  <c r="R17" i="10"/>
  <c r="R46" i="10" s="1"/>
  <c r="S38" i="10"/>
  <c r="F17" i="10"/>
  <c r="K52" i="10" l="1"/>
  <c r="K45" i="10"/>
  <c r="K42" i="10"/>
  <c r="K53" i="10"/>
  <c r="D11" i="16" s="1"/>
  <c r="K39" i="10"/>
  <c r="X48" i="10"/>
  <c r="X51" i="10" s="1"/>
  <c r="X47" i="10"/>
  <c r="F12" i="10"/>
  <c r="S46" i="10"/>
  <c r="T38" i="10"/>
  <c r="F52" i="10"/>
  <c r="F45" i="10"/>
  <c r="F53" i="10"/>
  <c r="C11" i="16" s="1"/>
  <c r="F39" i="10"/>
  <c r="F42" i="10"/>
  <c r="Q46" i="10"/>
  <c r="T13" i="10"/>
  <c r="K12" i="10"/>
  <c r="H45" i="10"/>
  <c r="F48" i="10" l="1"/>
  <c r="F51" i="10" s="1"/>
  <c r="F47" i="10"/>
  <c r="T53" i="10"/>
  <c r="F11" i="16" s="1"/>
  <c r="T39" i="10"/>
  <c r="T52" i="10"/>
  <c r="T46" i="10"/>
  <c r="T42" i="10"/>
  <c r="K48" i="10"/>
  <c r="K51" i="10" s="1"/>
  <c r="K47" i="10"/>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<sst xmlns="http://schemas.openxmlformats.org/spreadsheetml/2006/main" count="570" uniqueCount="508">
  <si>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</si>
  <si>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</si>
  <si>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</si>
  <si>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</si>
  <si>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</si>
  <si>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</si>
  <si>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</si>
  <si>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</si>
  <si>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</si>
  <si>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</si>
  <si>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</si>
  <si>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</si>
  <si>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</si>
  <si>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</si>
  <si>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</si>
  <si>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</si>
  <si>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</si>
  <si>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</si>
  <si>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</si>
  <si>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</si>
  <si>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</si>
  <si>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</si>
  <si>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</si>
  <si>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</si>
  <si>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</si>
  <si>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</si>
  <si>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</si>
  <si>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</si>
  <si>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</si>
  <si>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</si>
  <si>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</si>
  <si>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</si>
  <si>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</si>
  <si>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</si>
  <si>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</si>
  <si>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</si>
  <si>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</si>
  <si>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</si>
  <si>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</si>
  <si>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</si>
  <si>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</si>
  <si>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</si>
  <si>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</si>
  <si>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</si>
  <si>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</si>
  <si>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</si>
  <si>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</si>
  <si>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</si>
  <si>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</si>
  <si>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</si>
  <si>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</si>
  <si>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</si>
  <si>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</si>
  <si>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</si>
  <si>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</si>
  <si>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</si>
  <si>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</si>
  <si>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</si>
  <si>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</si>
  <si>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</si>
  <si>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</si>
  <si>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</si>
  <si>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</si>
  <si>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</si>
  <si>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</si>
  <si>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</si>
  <si>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</si>
  <si>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</si>
  <si>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</si>
  <si>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</si>
  <si>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</si>
  <si>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</si>
  <si>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</si>
  <si>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</si>
  <si>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</si>
  <si>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</si>
  <si>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</si>
  <si>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</si>
  <si>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</si>
  <si>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</si>
  <si>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</si>
  <si>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</si>
  <si>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</si>
  <si>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</si>
  <si>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</si>
  <si>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</si>
  <si>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</si>
  <si>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</si>
  <si>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</si>
  <si>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</si>
  <si>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</si>
  <si>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</si>
  <si>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</si>
  <si>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</si>
  <si>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</si>
  <si>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</si>
  <si>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</si>
  <si>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</si>
  <si>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</si>
  <si>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</si>
  <si>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</si>
  <si>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</si>
  <si>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</si>
  <si>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</si>
  <si>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</si>
  <si>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</si>
  <si>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</si>
  <si>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</si>
  <si>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</si>
  <si>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</si>
  <si>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</si>
  <si>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</si>
  <si>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</si>
  <si>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</si>
  <si>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</si>
  <si>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</si>
  <si>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</si>
  <si>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</si>
  <si>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</si>
  <si>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</si>
  <si>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</si>
  <si>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</si>
  <si>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</si>
  <si>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</si>
  <si>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</si>
  <si>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</si>
  <si>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</si>
  <si>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</si>
  <si>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</si>
  <si>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</si>
  <si>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</si>
  <si>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</si>
  <si>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</si>
  <si>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</si>
  <si>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</si>
  <si>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</si>
  <si>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</si>
  <si>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</si>
  <si>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</si>
  <si>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</si>
  <si>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</si>
  <si>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</si>
  <si>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</si>
  <si>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</si>
  <si>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</si>
  <si>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</si>
  <si>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</si>
  <si>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</si>
  <si>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</si>
  <si>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</si>
  <si>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</si>
  <si>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</si>
  <si>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</si>
  <si>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</si>
  <si>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</si>
  <si>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</si>
  <si>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</si>
  <si>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</si>
  <si>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</si>
  <si>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</si>
  <si>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</si>
  <si>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</si>
  <si>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</si>
  <si>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</si>
  <si>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</si>
  <si>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</si>
  <si>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</si>
  <si>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</si>
  <si>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</si>
  <si>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</si>
  <si>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</si>
  <si>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</si>
  <si>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</si>
  <si>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</si>
  <si>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</si>
  <si>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</si>
  <si>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</si>
  <si>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</si>
  <si>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</si>
  <si>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</si>
  <si>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</si>
  <si>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</si>
  <si>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</si>
  <si>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</si>
  <si>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</si>
  <si>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</si>
  <si>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</si>
  <si>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</si>
  <si>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</si>
  <si>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</si>
  <si>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</si>
  <si>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</si>
  <si>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</si>
  <si>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</si>
  <si>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</si>
  <si>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</si>
  <si>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</si>
  <si>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</si>
  <si>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</si>
  <si>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</si>
  <si>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</si>
  <si>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</si>
  <si>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</si>
  <si>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</si>
  <si>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</si>
  <si>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</si>
  <si>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</si>
  <si>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</si>
  <si>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</si>
  <si>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</si>
  <si>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</si>
  <si>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</si>
  <si>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</si>
  <si>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</si>
  <si>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</si>
  <si>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</si>
  <si>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</si>
  <si>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</si>
  <si>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</si>
  <si>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</si>
  <si>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</si>
  <si>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</si>
  <si>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</si>
  <si>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</si>
  <si>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</si>
  <si>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</si>
  <si>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</si>
  <si>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</si>
  <si>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</si>
  <si>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</si>
  <si>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</si>
  <si>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</si>
  <si>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</si>
  <si>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</si>
  <si>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</si>
  <si>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</si>
  <si>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</si>
  <si>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</si>
  <si>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</si>
  <si>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</si>
  <si>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</si>
  <si>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</si>
  <si>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</si>
  <si>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</si>
  <si>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</si>
  <si>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</si>
  <si>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</si>
  <si>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</si>
  <si>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</si>
  <si>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</si>
  <si>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</si>
  <si>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</si>
  <si>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</si>
  <si>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</si>
  <si>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</si>
  <si>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</si>
  <si>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</si>
  <si>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</si>
  <si>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</si>
  <si>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</si>
  <si>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</si>
  <si>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</si>
  <si>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</si>
  <si>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</si>
  <si>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</si>
  <si>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</si>
  <si>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</si>
  <si>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</si>
  <si>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</si>
  <si>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</si>
  <si>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</si>
  <si>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</si>
  <si>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</si>
  <si>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</si>
  <si>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</si>
  <si>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</si>
  <si>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</si>
  <si>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</si>
  <si>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</si>
  <si>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</si>
  <si>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</si>
  <si>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</si>
  <si>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</si>
  <si>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</si>
  <si>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</si>
  <si>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</si>
  <si>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</si>
  <si>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</si>
  <si>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</si>
  <si>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</si>
  <si>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</si>
  <si>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</si>
  <si>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</si>
  <si>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</si>
  <si>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</si>
  <si>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</si>
  <si>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</si>
  <si>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</si>
  <si>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</si>
  <si>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</si>
  <si>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</si>
  <si>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</si>
  <si>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</si>
  <si>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</si>
  <si>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</si>
  <si>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</si>
  <si>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</si>
  <si>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</si>
  <si>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</si>
  <si>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</si>
  <si>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</si>
  <si>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</si>
  <si>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</si>
  <si>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</si>
  <si>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</si>
  <si>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</si>
  <si>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</si>
  <si>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</si>
  <si>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</si>
  <si>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</si>
  <si>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</si>
  <si>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</si>
  <si>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</si>
  <si>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</si>
  <si>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</si>
  <si>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</si>
  <si>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</si>
  <si>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</si>
  <si>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</si>
  <si>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</si>
  <si>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</si>
  <si>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</si>
  <si>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</si>
  <si>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</si>
  <si>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</si>
  <si>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</si>
  <si>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</si>
  <si>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</si>
  <si>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</si>
  <si>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</si>
  <si>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</si>
  <si>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</si>
  <si>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</si>
  <si>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</si>
  <si>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</si>
  <si>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</si>
  <si>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</si>
  <si>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</si>
  <si>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</si>
  <si>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</si>
  <si>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</si>
  <si>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</si>
  <si>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</si>
  <si>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</si>
  <si>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</si>
  <si>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</si>
  <si>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</si>
  <si>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</si>
  <si>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</si>
  <si>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</si>
  <si>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</si>
  <si>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</si>
  <si>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</si>
  <si>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</si>
  <si>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</si>
  <si>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</si>
  <si>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</si>
  <si>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</si>
  <si>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</si>
  <si>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</si>
  <si>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</si>
  <si>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</si>
  <si>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</si>
  <si>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</si>
  <si>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</si>
  <si>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</si>
  <si>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</si>
  <si>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</si>
  <si>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</si>
  <si>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</si>
  <si>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</si>
  <si>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</si>
  <si>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</si>
  <si>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</si>
  <si>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</si>
  <si>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</si>
  <si>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</si>
  <si>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</si>
  <si>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</si>
  <si>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</si>
  <si>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</si>
  <si>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</si>
  <si>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</si>
  <si>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</si>
  <si>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</si>
  <si>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</si>
  <si>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</si>
  <si>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</si>
  <si>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</si>
  <si>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</si>
  <si>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</si>
  <si>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</si>
  <si>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</si>
  <si>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</si>
  <si>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</si>
  <si>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</si>
  <si>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</si>
  <si>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</si>
  <si>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</si>
  <si>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</si>
  <si>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</si>
  <si>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</si>
  <si>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</si>
  <si>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</si>
  <si>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</si>
  <si>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</si>
  <si>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</si>
  <si>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</si>
  <si>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</si>
  <si>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</si>
  <si>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</si>
  <si>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</si>
  <si>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</si>
  <si>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</si>
  <si>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</si>
  <si>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</si>
  <si>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</si>
  <si>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</si>
  <si>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</si>
  <si>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</si>
  <si>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</si>
  <si>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</si>
  <si>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</si>
  <si>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</si>
  <si>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</si>
  <si>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</si>
  <si>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</si>
  <si>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</si>
  <si>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</si>
  <si>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</si>
  <si>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</si>
  <si>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</si>
  <si>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</si>
  <si>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</si>
  <si>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</si>
  <si>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</si>
  <si>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</si>
  <si>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</si>
  <si>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</si>
  <si>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</si>
  <si>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</si>
  <si>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</si>
  <si>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</si>
  <si>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</si>
  <si>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</si>
  <si>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</si>
  <si>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</si>
  <si>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</si>
  <si>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</si>
  <si>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</si>
  <si>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</si>
  <si>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</si>
  <si>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</si>
  <si>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</si>
  <si>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</si>
  <si>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</si>
  <si>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</si>
  <si>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</si>
  <si>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</si>
  <si>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</si>
  <si>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</si>
  <si>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</si>
  <si>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</si>
  <si>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</si>
  <si>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</si>
  <si>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</si>
  <si>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</si>
  <si>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</si>
  <si>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</si>
  <si>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</si>
  <si>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</si>
  <si>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</si>
  <si>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</si>
  <si>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</si>
  <si>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</si>
  <si>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</si>
  <si>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</si>
  <si>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</si>
  <si>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</si>
  <si>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</si>
  <si>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</si>
  <si>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</si>
  <si>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</si>
  <si>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</si>
  <si>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</si>
  <si>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</si>
  <si>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</si>
  <si>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</si>
  <si>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</si>
  <si>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</si>
  <si>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</si>
  <si>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</si>
  <si>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</si>
  <si>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</si>
  <si>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</si>
  <si>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64536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</si>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</sst>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805565</v>
      </c>
      <c r="Q5" s="219">
        <f>SUM('Pt 2 Premium and Claims'!Q$5,'Pt 2 Premium and Claims'!Q$6,-'Pt 2 Premium and Claims'!Q$7,-'Pt 2 Premium and Claims'!Q$13,'Pt 2 Premium and Claims'!Q$14)</f>
        <v>807987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759320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23</v>
      </c>
      <c r="Q7" s="223">
        <v>23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2867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-138</v>
      </c>
      <c r="L12" s="219">
        <f>'Pt 2 Premium and Claims'!L$54</f>
        <v>0</v>
      </c>
      <c r="M12" s="219">
        <f>'Pt 2 Premium and Claims'!M$54</f>
        <v>0</v>
      </c>
      <c r="N12" s="219">
        <f>'Pt 2 Premium and Claims'!N$54</f>
        <v>0</v>
      </c>
      <c r="O12" s="218">
        <f>'Pt 2 Premium and Claims'!O$54</f>
        <v>0</v>
      </c>
      <c r="P12" s="218">
        <f>'Pt 2 Premium and Claims'!P$54</f>
        <v>971464</v>
      </c>
      <c r="Q12" s="219">
        <f>'Pt 2 Premium and Claims'!Q$54</f>
        <v>684677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729925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138</v>
      </c>
      <c r="L14" s="223"/>
      <c r="M14" s="273"/>
      <c r="N14" s="276"/>
      <c r="O14" s="222"/>
      <c r="P14" s="222">
        <v>16754</v>
      </c>
      <c r="Q14" s="223">
        <v>-51486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-8</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-6</v>
      </c>
      <c r="K25" s="223">
        <v>-6</v>
      </c>
      <c r="L25" s="223"/>
      <c r="M25" s="223"/>
      <c r="N25" s="223"/>
      <c r="O25" s="222"/>
      <c r="P25" s="222">
        <v>-142013</v>
      </c>
      <c r="Q25" s="223">
        <v>-142013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-14404</v>
      </c>
      <c r="AU25" s="226">
        <v>0</v>
      </c>
      <c r="AV25" s="226">
        <v>-381646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4632</v>
      </c>
      <c r="Q26" s="223">
        <v>4632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79377</v>
      </c>
      <c r="Q27" s="223">
        <v>79377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7698</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11092</v>
      </c>
      <c r="Q28" s="223">
        <v>11092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999</v>
      </c>
      <c r="AU28" s="226">
        <v>0</v>
      </c>
      <c r="AV28" s="226">
        <v>215170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2701</v>
      </c>
      <c r="Q30" s="223">
        <v>2701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2344</v>
      </c>
      <c r="AU30" s="226">
        <v>0</v>
      </c>
      <c r="AV30" s="226">
        <v>5626</v>
      </c>
      <c r="AW30" s="303"/>
    </row>
    <row r="31" spans="1:49" x14ac:dyDescent="0.2">
      <c r="B31" s="248" t="s">
        <v>247</v>
      </c>
      <c r="C31" s="209"/>
      <c r="D31" s="222">
        <v>0</v>
      </c>
      <c r="E31" s="223">
        <v>0</v>
      </c>
      <c r="F31" s="223"/>
      <c r="G31" s="223"/>
      <c r="H31" s="223"/>
      <c r="I31" s="222">
        <v>0</v>
      </c>
      <c r="J31" s="222">
        <v>0</v>
      </c>
      <c r="K31" s="223">
        <v>0</v>
      </c>
      <c r="L31" s="223"/>
      <c r="M31" s="223"/>
      <c r="N31" s="223"/>
      <c r="O31" s="222"/>
      <c r="P31" s="222">
        <v>13851</v>
      </c>
      <c r="Q31" s="223">
        <v>13851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13056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95312</v>
      </c>
      <c r="Q34" s="223">
        <v>95312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238</v>
      </c>
      <c r="Q35" s="223">
        <v>238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1064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4</v>
      </c>
      <c r="K37" s="231">
        <v>4</v>
      </c>
      <c r="L37" s="231"/>
      <c r="M37" s="231"/>
      <c r="N37" s="231"/>
      <c r="O37" s="230"/>
      <c r="P37" s="230">
        <v>2944</v>
      </c>
      <c r="Q37" s="231">
        <v>2944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v>
      </c>
      <c r="AU37" s="232">
        <v>0</v>
      </c>
      <c r="AV37" s="232">
        <v>225808</v>
      </c>
      <c r="AW37" s="302"/>
    </row>
    <row r="38" spans="1:49" x14ac:dyDescent="0.2">
      <c r="B38" s="245" t="s">
        <v>254</v>
      </c>
      <c r="C38" s="209" t="s">
        <v>16</v>
      </c>
      <c r="D38" s="222">
        <v>0</v>
      </c>
      <c r="E38" s="223">
        <v>0</v>
      </c>
      <c r="F38" s="223"/>
      <c r="G38" s="223"/>
      <c r="H38" s="223"/>
      <c r="I38" s="222">
        <v>0</v>
      </c>
      <c r="J38" s="222">
        <v>4</v>
      </c>
      <c r="K38" s="223">
        <v>4</v>
      </c>
      <c r="L38" s="223"/>
      <c r="M38" s="223"/>
      <c r="N38" s="223"/>
      <c r="O38" s="222"/>
      <c r="P38" s="222">
        <v>643</v>
      </c>
      <c r="Q38" s="223">
        <v>643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32295</v>
      </c>
      <c r="AW38" s="303"/>
    </row>
    <row r="39" spans="1:49" x14ac:dyDescent="0.2">
      <c r="B39" s="248" t="s">
        <v>255</v>
      </c>
      <c r="C39" s="209" t="s">
        <v>17</v>
      </c>
      <c r="D39" s="222">
        <v>0</v>
      </c>
      <c r="E39" s="223">
        <v>0</v>
      </c>
      <c r="F39" s="223"/>
      <c r="G39" s="223"/>
      <c r="H39" s="223"/>
      <c r="I39" s="222">
        <v>0</v>
      </c>
      <c r="J39" s="222">
        <v>4</v>
      </c>
      <c r="K39" s="223">
        <v>4</v>
      </c>
      <c r="L39" s="223"/>
      <c r="M39" s="223"/>
      <c r="N39" s="223"/>
      <c r="O39" s="222"/>
      <c r="P39" s="222">
        <v>-362</v>
      </c>
      <c r="Q39" s="223">
        <v>-362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v>
      </c>
      <c r="AU39" s="226">
        <v>0</v>
      </c>
      <c r="AV39" s="226">
        <v>5493</v>
      </c>
      <c r="AW39" s="303"/>
    </row>
    <row r="40" spans="1:49" x14ac:dyDescent="0.2">
      <c r="B40" s="248" t="s">
        <v>256</v>
      </c>
      <c r="C40" s="209" t="s">
        <v>38</v>
      </c>
      <c r="D40" s="222">
        <v>0</v>
      </c>
      <c r="E40" s="223">
        <v>0</v>
      </c>
      <c r="F40" s="223"/>
      <c r="G40" s="223"/>
      <c r="H40" s="223"/>
      <c r="I40" s="222">
        <v>0</v>
      </c>
      <c r="J40" s="222">
        <v>4</v>
      </c>
      <c r="K40" s="223">
        <v>4</v>
      </c>
      <c r="L40" s="223"/>
      <c r="M40" s="223"/>
      <c r="N40" s="223"/>
      <c r="O40" s="222"/>
      <c r="P40" s="222">
        <v>61</v>
      </c>
      <c r="Q40" s="223">
        <v>61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10</v>
      </c>
      <c r="AU40" s="226">
        <v>0</v>
      </c>
      <c r="AV40" s="226">
        <v>35375</v>
      </c>
      <c r="AW40" s="303"/>
    </row>
    <row r="41" spans="1:49" s="11" customFormat="1" ht="25.5" x14ac:dyDescent="0.2">
      <c r="A41" s="41"/>
      <c r="B41" s="248" t="s">
        <v>257</v>
      </c>
      <c r="C41" s="209" t="s">
        <v>129</v>
      </c>
      <c r="D41" s="222">
        <v>0</v>
      </c>
      <c r="E41" s="223">
        <v>0</v>
      </c>
      <c r="F41" s="223"/>
      <c r="G41" s="223"/>
      <c r="H41" s="223"/>
      <c r="I41" s="222">
        <v>0</v>
      </c>
      <c r="J41" s="222">
        <v>4</v>
      </c>
      <c r="K41" s="223">
        <v>4</v>
      </c>
      <c r="L41" s="223"/>
      <c r="M41" s="223"/>
      <c r="N41" s="223"/>
      <c r="O41" s="222"/>
      <c r="P41" s="222">
        <v>1554</v>
      </c>
      <c r="Q41" s="223">
        <v>1554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71</v>
      </c>
      <c r="AU41" s="226">
        <v>0</v>
      </c>
      <c r="AV41" s="226">
        <v>100309</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170</v>
      </c>
      <c r="Q42" s="223">
        <v>170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4093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40058</v>
      </c>
      <c r="Q44" s="231">
        <v>40058</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404</v>
      </c>
      <c r="AU44" s="232">
        <v>0</v>
      </c>
      <c r="AV44" s="232">
        <v>1122771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809</v>
      </c>
      <c r="Q45" s="223">
        <v>809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34</v>
      </c>
      <c r="AU45" s="226">
        <v>0</v>
      </c>
      <c r="AV45" s="226">
        <v>-975</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23523</v>
      </c>
      <c r="Q46" s="223">
        <v>23523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2345</v>
      </c>
      <c r="AU46" s="226">
        <v>0</v>
      </c>
      <c r="AV46" s="226">
        <v>359662</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17933</v>
      </c>
      <c r="Q47" s="223">
        <v>17933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20711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83</v>
      </c>
      <c r="AW50" s="303"/>
    </row>
    <row r="51" spans="2:49" x14ac:dyDescent="0.2">
      <c r="B51" s="245" t="s">
        <v>266</v>
      </c>
      <c r="C51" s="209"/>
      <c r="D51" s="222">
        <v>0</v>
      </c>
      <c r="E51" s="223">
        <v>0</v>
      </c>
      <c r="F51" s="223"/>
      <c r="G51" s="223"/>
      <c r="H51" s="223"/>
      <c r="I51" s="222">
        <v>0</v>
      </c>
      <c r="J51" s="222">
        <v>0</v>
      </c>
      <c r="K51" s="223">
        <v>0</v>
      </c>
      <c r="L51" s="223"/>
      <c r="M51" s="223"/>
      <c r="N51" s="223"/>
      <c r="O51" s="222"/>
      <c r="P51" s="222">
        <v>55165</v>
      </c>
      <c r="Q51" s="223">
        <v>55165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36540</v>
      </c>
      <c r="AU51" s="226">
        <v>0</v>
      </c>
      <c r="AV51" s="226">
        <v>5808746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267</v>
      </c>
      <c r="Q53" s="223">
        <v>267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199</v>
      </c>
      <c r="AU53" s="226">
        <v>0</v>
      </c>
      <c r="AV53" s="226">
        <v>12058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6743320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294</v>
      </c>
      <c r="Q56" s="235">
        <v>294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967</v>
      </c>
      <c r="AU56" s="236">
        <v>0</v>
      </c>
      <c r="AV56" s="236">
        <v>30705</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744</v>
      </c>
      <c r="Q57" s="238">
        <v>744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1633</v>
      </c>
      <c r="AU57" s="239">
        <v>0</v>
      </c>
      <c r="AV57" s="239">
        <v>63724</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8</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9419</v>
      </c>
      <c r="Q59" s="238">
        <v>9419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19345</v>
      </c>
      <c r="AU59" s="239">
        <v>0</v>
      </c>
      <c r="AV59" s="239">
        <v>772819</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784.91666666666663</v>
      </c>
      <c r="Q60" s="241">
        <f>Q$59/12</f>
        <v>784.91666666666663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1612.0833333333333</v>
      </c>
      <c r="AU60" s="242">
        <f>AU$59/12</f>
        <v>0</v>
      </c>
      <c r="AV60" s="242">
        <f>AV$59/12</f>
        <v>64401.583333333336</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174778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57596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-2455</v>
      </c>
      <c r="E5" s="332">
        <v>-2455</v>
      </c>
      <c r="F5" s="332"/>
      <c r="G5" s="334"/>
      <c r="H5" s="334"/>
      <c r="I5" s="331">
        <v>0</v>
      </c>
      <c r="J5" s="331">
        <v>0</v>
      </c>
      <c r="K5" s="332">
        <v>0</v>
      </c>
      <c r="L5" s="332"/>
      <c r="M5" s="332"/>
      <c r="N5" s="332"/>
      <c r="O5" s="331"/>
      <c r="P5" s="331">
        <v>1132396</v>
      </c>
      <c r="Q5" s="332">
        <v>811640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788786</v>
      </c>
      <c r="AU5" s="333">
        <v>0</v>
      </c>
      <c r="AV5" s="375"/>
      <c r="AW5" s="379"/>
    </row>
    <row r="6" spans="2:49" x14ac:dyDescent="0.2">
      <c r="B6" s="349" t="s">
        <v>278</v>
      </c>
      <c r="C6" s="337" t="s">
        <v>8</v>
      </c>
      <c r="D6" s="324">
        <v>2455</v>
      </c>
      <c r="E6" s="325">
        <v>2455</v>
      </c>
      <c r="F6" s="325"/>
      <c r="G6" s="326"/>
      <c r="H6" s="326"/>
      <c r="I6" s="324">
        <v>0</v>
      </c>
      <c r="J6" s="324">
        <v>0</v>
      </c>
      <c r="K6" s="325">
        <v>0</v>
      </c>
      <c r="L6" s="325"/>
      <c r="M6" s="325"/>
      <c r="N6" s="325"/>
      <c r="O6" s="324"/>
      <c r="P6" s="324">
        <v>-98</v>
      </c>
      <c r="Q6" s="325">
        <v>-98</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3289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323178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32632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-138660</v>
      </c>
      <c r="Q11" s="325">
        <v>-138660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3555</v>
      </c>
      <c r="Q13" s="325">
        <v>3555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123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917</v>
      </c>
      <c r="K23" s="368"/>
      <c r="L23" s="368"/>
      <c r="M23" s="368"/>
      <c r="N23" s="368"/>
      <c r="O23" s="370"/>
      <c r="P23" s="324">
        <v>1577745</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754238</v>
      </c>
      <c r="AU23" s="327">
        <v>0</v>
      </c>
      <c r="AV23" s="374"/>
      <c r="AW23" s="380"/>
    </row>
    <row r="24" spans="2:49" ht="28.5" customHeight="1" x14ac:dyDescent="0.2">
      <c r="B24" s="351" t="s">
        <v>114</v>
      </c>
      <c r="C24" s="337"/>
      <c r="D24" s="371"/>
      <c r="E24" s="325">
        <v>0</v>
      </c>
      <c r="F24" s="325"/>
      <c r="G24" s="325"/>
      <c r="H24" s="325"/>
      <c r="I24" s="324">
        <v>0</v>
      </c>
      <c r="J24" s="371"/>
      <c r="K24" s="325">
        <v>-138</v>
      </c>
      <c r="L24" s="325"/>
      <c r="M24" s="325"/>
      <c r="N24" s="325"/>
      <c r="O24" s="324"/>
      <c r="P24" s="371"/>
      <c r="Q24" s="325">
        <v>1243130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815139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70681</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-417264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1297121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94994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1345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1345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3868</v>
      </c>
      <c r="Q36" s="325">
        <v>3868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-138660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-138660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1600</v>
      </c>
      <c r="K49" s="325">
        <v>0</v>
      </c>
      <c r="L49" s="325"/>
      <c r="M49" s="325"/>
      <c r="N49" s="325"/>
      <c r="O49" s="324"/>
      <c r="P49" s="324">
        <v>57287</v>
      </c>
      <c r="Q49" s="325">
        <v>6</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683</v>
      </c>
      <c r="K50" s="369"/>
      <c r="L50" s="369"/>
      <c r="M50" s="369"/>
      <c r="N50" s="369"/>
      <c r="O50" s="371"/>
      <c r="P50" s="324">
        <v>74171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-138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971464</v>
      </c>
      <c r="Q54" s="329">
        <f>Q24+Q27+Q31+Q35-Q36+Q39+Q42+Q45+Q46-Q49+Q51+Q52+Q53</f>
        <v>684677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729925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367350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51740</v>
      </c>
      <c r="D6" s="404">
        <v>-735</v>
      </c>
      <c r="E6" s="406">
        <f>SUM('Pt 1 Summary of Data'!E$12,'Pt 1 Summary of Data'!E$22)+SUM('Pt 1 Summary of Data'!G$12,'Pt 1 Summary of Data'!G$22)-SUM('Pt 1 Summary of Data'!H$12,'Pt 1 Summary of Data'!H$22)</f>
        <v>0</v>
      </c>
      <c r="F6" s="406">
        <f>SUM(C6:E6)</f>
        <v>51005</v>
      </c>
      <c r="G6" s="407">
        <f>SUM('Pt 1 Summary of Data'!I$12,'Pt 1 Summary of Data'!I$22)</f>
        <v>0</v>
      </c>
      <c r="H6" s="403">
        <v>1330</v>
      </c>
      <c r="I6" s="404">
        <v>-1191</v>
      </c>
      <c r="J6" s="406">
        <f>SUM('Pt 1 Summary of Data'!K$12,'Pt 1 Summary of Data'!K$22)+SUM('Pt 1 Summary of Data'!M$12,'Pt 1 Summary of Data'!M$22)-SUM('Pt 1 Summary of Data'!N$12,'Pt 1 Summary of Data'!N$22)</f>
        <v>-138</v>
      </c>
      <c r="K6" s="406">
        <f>SUM(H6:J6)</f>
        <v>1</v>
      </c>
      <c r="L6" s="407">
        <f>SUM('Pt 1 Summary of Data'!O$12,'Pt 1 Summary of Data'!O$22)</f>
        <v>0</v>
      </c>
      <c r="M6" s="403">
        <v>1921020</v>
      </c>
      <c r="N6" s="404">
        <v>942191</v>
      </c>
      <c r="O6" s="406">
        <f>SUM('Pt 1 Summary of Data'!Q$12,'Pt 1 Summary of Data'!Q$22)+SUM('Pt 1 Summary of Data'!S$12,'Pt 1 Summary of Data'!S$22)-SUM('Pt 1 Summary of Data'!T$12,'Pt 1 Summary of Data'!T$22)</f>
        <v>684677</v>
      </c>
      <c r="P6" s="406">
        <f>SUM(M6:O6)</f>
        <v>3547888</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40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40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20</v>
      </c>
      <c r="K7" s="406">
        <f>SUM(H7:J7)</f>
        <v>20</v>
      </c>
      <c r="L7" s="407">
        <f>SUM('Pt 1 Summary of Data'!O$37:O$41)+MAX(0,MIN(VALUE('Pt 1 Summary of Data'!O$42),0.3%*('Pt 1 Summary of Data'!O$5-L$10)))</f>
        <v>0</v>
      </c>
      <c r="M7" s="403">
        <v>6861</v>
      </c>
      <c r="N7" s="404">
        <v>4056</v>
      </c>
      <c r="O7" s="406">
        <f>SUM('Pt 1 Summary of Data'!Q$37:Q$41)+SUM('Pt 1 Summary of Data'!S$37:S$41)-SUM('Pt 1 Summary of Data'!T$37:T$41)+MAX(0,MIN('Pt 1 Summary of Data'!Q$42+'Pt 1 Summary of Data'!S$42-'Pt 1 Summary of Data'!T$42,0.3%*('Pt 1 Summary of Data'!Q$5+'Pt 1 Summary of Data'!S$5-'Pt 1 Summary of Data'!T$5)))</f>
        <v>5010</v>
      </c>
      <c r="P7" s="406">
        <f>SUM(M7:O7)</f>
        <v>15927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51780</v>
      </c>
      <c r="D12" s="406">
        <f>SUM(D$6:D$7) - SUM(D$8:D$11)+IF(AND(OR('Company Information'!$C$12="District of Columbia",'Company Information'!$C$12="Massachusetts",'Company Information'!$C$12="Vermont"),SUM($C$6:$F$11,$C$15:$F$16,$C$38:$D$38)&lt;&gt;0),SUM(I$6:I$7) - SUM(I$10:I$11),0)</f>
        <v>-735</v>
      </c>
      <c r="E12" s="406">
        <f>SUM(E$6:E$7)-SUM(E$8:E$11)+IF(AND(OR('Company Information'!$C$12="District of Columbia",'Company Information'!$C$12="Massachusetts",'Company Information'!$C$12="Vermont"),SUM($C$6:$F$11,$C$15:$F$16,$C$38:$D$38)&lt;&gt;0),SUM(J$6:J$7)-SUM(J$10:J$11),0)</f>
        <v>0</v>
      </c>
      <c r="F12" s="406">
        <f>IFERROR(SUM(C$12:E$12)+C$17*MAX(0,E$50-C$50)+D$17*MAX(0,E$50-D$50),0)</f>
        <v>51045</v>
      </c>
      <c r="G12" s="453"/>
      <c r="H12" s="405">
        <f>SUM(H$6:H$7)+IF(AND(OR('Company Information'!$C$12="District of Columbia",'Company Information'!$C$12="Massachusetts",'Company Information'!$C$12="Vermont"),SUM($H$6:$K$11,$H$15:$K$16,$H$38:$I$38)&lt;&gt;0),SUM(C$6:C$7),0)</f>
        <v>1330</v>
      </c>
      <c r="I12" s="406">
        <f>SUM(I$6:I$7) - SUM(I$10:I$11)+IF(AND(OR('Company Information'!$C$12="District of Columbia",'Company Information'!$C$12="Massachusetts",'Company Information'!$C$12="Vermont"),SUM($H$6:$K$11,$H$15:$K$16,$H$38:$I$38)&lt;&gt;0),SUM(D$6:D$7) - SUM(D$8:D$11),0)</f>
        <v>-1191</v>
      </c>
      <c r="J12" s="406">
        <f>SUM(J$6:J$7)-SUM(J$10:J$11)+IF(AND(OR('Company Information'!$C$12="District of Columbia",'Company Information'!$C$12="Massachusetts",'Company Information'!$C$12="Vermont"),SUM($H$6:$K$11,$H$15:$K$16,$H$38:$I$38)&lt;&gt;0),SUM(E$6:E$7)-SUM(E$8:E$11),0)</f>
        <v>-118</v>
      </c>
      <c r="K12" s="406">
        <f>IFERROR(SUM(H$12:J$12)+H$17*MAX(0,J$50-H$50)+I$17*MAX(0,J$50-I$50),0)</f>
        <v>21</v>
      </c>
      <c r="L12" s="453"/>
      <c r="M12" s="405">
        <f>SUM(M$6:M$7)</f>
        <v>1927881</v>
      </c>
      <c r="N12" s="406">
        <f>SUM(N$6:N$7)</f>
        <v>946247</v>
      </c>
      <c r="O12" s="406">
        <f>SUM(O$6:O$7)</f>
        <v>689687</v>
      </c>
      <c r="P12" s="406">
        <f>SUM(M$12:O$12)+M$17*MAX(0,O$50-M$50)+N$17*MAX(0,O$50-N$50)</f>
        <v>3563815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15252</v>
      </c>
      <c r="D15" s="409">
        <v>0</v>
      </c>
      <c r="E15" s="401">
        <f>SUM('Pt 1 Summary of Data'!E$5:E$7)+SUM('Pt 1 Summary of Data'!G$5:G$7)-SUM('Pt 1 Summary of Data'!H$5:H$7)-SUM(E$9:E$11)</f>
        <v>0</v>
      </c>
      <c r="F15" s="401">
        <f>SUM(C15:E15)</f>
        <v>15252</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2297998</v>
      </c>
      <c r="N15" s="409">
        <v>1111944</v>
      </c>
      <c r="O15" s="401">
        <f>SUM('Pt 1 Summary of Data'!Q$5:Q$7)+SUM('Pt 1 Summary of Data'!S$5:S$7)-SUM('Pt 1 Summary of Data'!T$5:T$7)+N$56</f>
        <v>808010</v>
      </c>
      <c r="P15" s="401">
        <f>SUM(M15:O15)</f>
        <v>4217952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-13479</v>
      </c>
      <c r="D16" s="404">
        <v>870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-12609</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v>
      </c>
      <c r="K16" s="406">
        <f>SUM(H16:J16)</f>
        <v>-6</v>
      </c>
      <c r="L16" s="407">
        <f>SUM('Pt 1 Summary of Data'!O$25:O$28,'Pt 1 Summary of Data'!O$30,'Pt 1 Summary of Data'!O$34:O$35)+IF('Company Information'!$C$15="No",IF(MAX('Pt 1 Summary of Data'!O$31:O$32)=0,MIN('Pt 1 Summary of Data'!O$31:O$32),MAX('Pt 1 Summary of Data'!O$31:O$32)),SUM('Pt 1 Summary of Data'!O$31:O$32))</f>
        <v>0</v>
      </c>
      <c r="M16" s="403">
        <v>222940</v>
      </c>
      <c r="N16" s="404">
        <v>166439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65190</v>
      </c>
      <c r="P16" s="406">
        <f>SUM(M16:O16)</f>
        <v>454569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28731</v>
      </c>
      <c r="D17" s="406">
        <f>D$15-D$16+IF(AND(OR('Company Information'!$C$12="District of Columbia",'Company Information'!$C$12="Massachusetts",'Company Information'!$C$12="Vermont"),SUM($C$6:$F$11,$C$15:$F$16,$C$38:$D$38)&lt;&gt;0),I$15-I$16,0)</f>
        <v>-870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27861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6</v>
      </c>
      <c r="K17" s="406">
        <f>K$15-K$16+IF(AND(OR('Company Information'!$C$12="District of Columbia",'Company Information'!$C$12="Massachusetts",'Company Information'!$C$12="Vermont"),SUM($H$6:$K$11,$H$15:$K$16,$H$38:$I$38)&lt;&gt;0),F$15-F$16,0)</f>
        <v>6</v>
      </c>
      <c r="L17" s="456"/>
      <c r="M17" s="405">
        <f>M$15-M$16</f>
        <v>2075058</v>
      </c>
      <c r="N17" s="406">
        <f>N$15-N$16</f>
        <v>945505</v>
      </c>
      <c r="O17" s="406">
        <f>O$15-O$16</f>
        <v>742820</v>
      </c>
      <c r="P17" s="406">
        <f>P$15-P$16</f>
        <v>3763383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762.41920000000005</v>
      </c>
      <c r="N38" s="411">
        <v>773.96</v>
      </c>
      <c r="O38" s="438">
        <f>('Pt 1 Summary of Data'!Q$59+'Pt 1 Summary of Data'!S$59-'Pt 1 Summary of Data'!T$59)/12</f>
        <v>784.91666666666663</v>
      </c>
      <c r="P38" s="438">
        <f>SUM(M$38:O$38)</f>
        <v>2321.2958666666668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5.5693218755555551E-2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5.5693218755555551E-2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f>IF(OR(P$38&lt;1000,P$17&lt;=0),"",P$12/P$17)</f>
        <v>0.94697111614735996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5.5693218755555551E-2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1.0029999999999999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1.0029999999999999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742820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20522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7429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294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