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P15" i="10" l="1"/>
  <c r="P17" i="10" s="1"/>
  <c r="O17" i="10"/>
  <c r="P37" i="10"/>
  <c r="D17" i="10"/>
  <c r="D44" i="10" s="1"/>
  <c r="F6" i="10"/>
  <c r="C17" i="10" s="1"/>
  <c r="X37" i="10"/>
  <c r="O12" i="10"/>
  <c r="O44" i="10" s="1"/>
  <c r="P6" i="10"/>
  <c r="X6" i="10"/>
  <c r="F15" i="10"/>
  <c r="F17" i="10" s="1"/>
  <c r="F37" i="10"/>
  <c r="AB37" i="10"/>
  <c r="J6" i="10"/>
  <c r="G29" i="10"/>
  <c r="K15" i="10"/>
  <c r="K37" i="10"/>
  <c r="S6" i="10"/>
  <c r="AA6" i="10"/>
  <c r="G19" i="10"/>
  <c r="T37" i="10"/>
  <c r="L20" i="10"/>
  <c r="T15" i="10"/>
  <c r="L29" i="10"/>
  <c r="L25" i="10"/>
  <c r="L21" i="10"/>
  <c r="L28" i="10"/>
  <c r="J7" i="10"/>
  <c r="K7" i="10" s="1"/>
  <c r="M44" i="10"/>
  <c r="S7" i="10"/>
  <c r="T7" i="10" s="1"/>
  <c r="Z45" i="10"/>
  <c r="AA15" i="10"/>
  <c r="E7" i="10"/>
  <c r="F7" i="10" s="1"/>
  <c r="L19" i="10"/>
  <c r="L24" i="10" s="1"/>
  <c r="L23" i="10" s="1"/>
  <c r="O7" i="10"/>
  <c r="P7" i="10" s="1"/>
  <c r="W15" i="10"/>
  <c r="G7" i="10"/>
  <c r="G21" i="10" s="1"/>
  <c r="C44" i="10" l="1"/>
  <c r="F38" i="10" s="1"/>
  <c r="AB41" i="10"/>
  <c r="AB51" i="10"/>
  <c r="AB52" i="10" s="1"/>
  <c r="H11" i="16" s="1"/>
  <c r="AB46" i="10"/>
  <c r="AB38" i="10"/>
  <c r="P12" i="10"/>
  <c r="L27" i="10"/>
  <c r="K51" i="10"/>
  <c r="K52" i="10" s="1"/>
  <c r="D11" i="16" s="1"/>
  <c r="K46" i="10"/>
  <c r="K41" i="10"/>
  <c r="X41" i="10"/>
  <c r="X51" i="10"/>
  <c r="X52" i="10" s="1"/>
  <c r="G11" i="16" s="1"/>
  <c r="X46" i="10"/>
  <c r="X38" i="10"/>
  <c r="T51" i="10"/>
  <c r="T52" i="10" s="1"/>
  <c r="F11" i="16" s="1"/>
  <c r="T46" i="10"/>
  <c r="T38" i="10"/>
  <c r="T41" i="10"/>
  <c r="AA13" i="10"/>
  <c r="AB6" i="10"/>
  <c r="AB13" i="10" s="1"/>
  <c r="T6" i="10"/>
  <c r="S17" i="10" s="1"/>
  <c r="S45" i="10" s="1"/>
  <c r="Q17" i="10"/>
  <c r="S13" i="10"/>
  <c r="R17" i="10"/>
  <c r="R45" i="10" s="1"/>
  <c r="Q13" i="10"/>
  <c r="R13" i="10"/>
  <c r="G25" i="10"/>
  <c r="E17" i="10"/>
  <c r="E44" i="10" s="1"/>
  <c r="W13" i="10"/>
  <c r="C12" i="10"/>
  <c r="F12" i="10" s="1"/>
  <c r="P51" i="10"/>
  <c r="P38" i="10"/>
  <c r="P41" i="10" s="1"/>
  <c r="P46" i="10" s="1"/>
  <c r="P44" i="10"/>
  <c r="G20" i="10"/>
  <c r="F51" i="10"/>
  <c r="F52" i="10" s="1"/>
  <c r="C11" i="16" s="1"/>
  <c r="F46" i="10"/>
  <c r="F44" i="10"/>
  <c r="F47" i="10" s="1"/>
  <c r="F50" i="10" s="1"/>
  <c r="F41" i="10"/>
  <c r="E12" i="10"/>
  <c r="W17" i="10"/>
  <c r="W45" i="10" s="1"/>
  <c r="X15" i="10"/>
  <c r="AA17" i="10"/>
  <c r="AA45" i="10" s="1"/>
  <c r="AB15" i="10"/>
  <c r="AB17" i="10" s="1"/>
  <c r="AB45" i="10" s="1"/>
  <c r="AB47" i="10" s="1"/>
  <c r="AB50" i="10" s="1"/>
  <c r="G28" i="10"/>
  <c r="K6" i="10"/>
  <c r="J17" i="10" s="1"/>
  <c r="J44" i="10" s="1"/>
  <c r="V17" i="10"/>
  <c r="V45" i="10" s="1"/>
  <c r="D12" i="10"/>
  <c r="P47" i="10" l="1"/>
  <c r="P50" i="10" s="1"/>
  <c r="I12" i="10"/>
  <c r="Q45" i="10"/>
  <c r="T13" i="10"/>
  <c r="H12" i="10"/>
  <c r="J12" i="10"/>
  <c r="X17" i="10"/>
  <c r="X45" i="10" s="1"/>
  <c r="X47" i="10" s="1"/>
  <c r="X50" i="10" s="1"/>
  <c r="U13" i="10"/>
  <c r="U17" i="10"/>
  <c r="G24" i="10"/>
  <c r="G23" i="10" s="1"/>
  <c r="G27" i="10" s="1"/>
  <c r="K17" i="10"/>
  <c r="K44" i="10" s="1"/>
  <c r="K47" i="10" s="1"/>
  <c r="K50" i="10" s="1"/>
  <c r="L31" i="10"/>
  <c r="L32" i="10" s="1"/>
  <c r="L33" i="10" s="1"/>
  <c r="L26" i="10"/>
  <c r="L30" i="10" s="1"/>
  <c r="H17" i="10"/>
  <c r="I17" i="10"/>
  <c r="I44" i="10" s="1"/>
  <c r="P52" i="10"/>
  <c r="E11" i="16" s="1"/>
  <c r="T17" i="10"/>
  <c r="T45" i="10" s="1"/>
  <c r="T47" i="10" s="1"/>
  <c r="T50" i="10" s="1"/>
  <c r="V13" i="10"/>
  <c r="G26" i="10" l="1"/>
  <c r="G30" i="10" s="1"/>
  <c r="G31" i="10"/>
  <c r="G32" i="10" s="1"/>
  <c r="G33" i="10" s="1"/>
  <c r="H44" i="10"/>
  <c r="K38" i="10" s="1"/>
  <c r="K12" i="10"/>
  <c r="U45" i="10"/>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<sst xmlns="http://schemas.openxmlformats.org/spreadsheetml/2006/main" count="568" uniqueCount="506">
  <si>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</si>
  <si>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</si>
  <si>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</si>
  <si>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</si>
  <si>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</si>
  <si>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</si>
  <si>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</si>
  <si>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</si>
  <si>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</si>
  <si>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</si>
  <si>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</si>
  <si>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</si>
  <si>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</si>
  <si>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</si>
  <si>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</si>
  <si>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</si>
  <si>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</si>
  <si>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</si>
  <si>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</si>
  <si>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</si>
  <si>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</si>
  <si>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</si>
  <si>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</si>
  <si>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</si>
  <si>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</si>
  <si>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</si>
  <si>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</si>
  <si>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</si>
  <si>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</si>
  <si>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</si>
  <si>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</si>
  <si>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</si>
  <si>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</si>
  <si>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</si>
  <si>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</si>
  <si>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</si>
  <si>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</si>
  <si>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</si>
  <si>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</si>
  <si>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</si>
  <si>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</si>
  <si>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</si>
  <si>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</si>
  <si>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</si>
  <si>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</si>
  <si>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</si>
  <si>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</si>
  <si>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</si>
  <si>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</si>
  <si>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</si>
  <si>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</si>
  <si>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</si>
  <si>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</si>
  <si>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</si>
  <si>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</si>
  <si>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</si>
  <si>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</si>
  <si>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</si>
  <si>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</si>
  <si>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</si>
  <si>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</si>
  <si>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</si>
  <si>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</si>
  <si>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</si>
  <si>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</si>
  <si>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</si>
  <si>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</si>
  <si>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</si>
  <si>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</si>
  <si>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</si>
  <si>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</si>
  <si>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</si>
  <si>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</si>
  <si>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</si>
  <si>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</si>
  <si>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</si>
  <si>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</si>
  <si>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</si>
  <si>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</si>
  <si>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</si>
  <si>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</si>
  <si>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</si>
  <si>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</si>
  <si>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</si>
  <si>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</si>
  <si>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</si>
  <si>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</si>
  <si>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</si>
  <si>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</si>
  <si>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</si>
  <si>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</si>
  <si>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</si>
  <si>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</si>
  <si>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</si>
  <si>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</si>
  <si>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</si>
  <si>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</si>
  <si>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</si>
  <si>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</si>
  <si>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</si>
  <si>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</si>
  <si>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</si>
  <si>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</si>
  <si>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</si>
  <si>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</si>
  <si>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</si>
  <si>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</si>
  <si>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</si>
  <si>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</si>
  <si>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</si>
  <si>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</si>
  <si>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</si>
  <si>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</si>
  <si>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</si>
  <si>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</si>
  <si>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</si>
  <si>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</si>
  <si>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</si>
  <si>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</si>
  <si>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</si>
  <si>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</si>
  <si>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</si>
  <si>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</si>
  <si>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</si>
  <si>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</si>
  <si>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</si>
  <si>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</si>
  <si>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</si>
  <si>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</si>
  <si>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</si>
  <si>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</si>
  <si>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</si>
  <si>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</si>
  <si>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</si>
  <si>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</si>
  <si>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</si>
  <si>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</si>
  <si>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</si>
  <si>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</si>
  <si>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</si>
  <si>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</si>
  <si>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</si>
  <si>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</si>
  <si>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</si>
  <si>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</si>
  <si>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</si>
  <si>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</si>
  <si>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</si>
  <si>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</si>
  <si>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</si>
  <si>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</si>
  <si>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</si>
  <si>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</si>
  <si>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</si>
  <si>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</si>
  <si>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</si>
  <si>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</si>
  <si>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</si>
  <si>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</si>
  <si>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</si>
  <si>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</si>
  <si>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</si>
  <si>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</si>
  <si>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</si>
  <si>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</si>
  <si>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</si>
  <si>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</si>
  <si>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</si>
  <si>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</si>
  <si>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</si>
  <si>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</si>
  <si>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</si>
  <si>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</si>
  <si>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</si>
  <si>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</si>
  <si>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</si>
  <si>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</si>
  <si>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</si>
  <si>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</si>
  <si>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</si>
  <si>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</si>
  <si>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</si>
  <si>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</si>
  <si>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</si>
  <si>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</si>
  <si>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</si>
  <si>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</si>
  <si>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</si>
  <si>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</si>
  <si>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</si>
  <si>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</si>
  <si>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</si>
  <si>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</si>
  <si>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</si>
  <si>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</si>
  <si>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</si>
  <si>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</si>
  <si>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</si>
  <si>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</si>
  <si>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</si>
  <si>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</si>
  <si>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</si>
  <si>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</si>
  <si>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</si>
  <si>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</si>
  <si>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</si>
  <si>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</si>
  <si>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</si>
  <si>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</si>
  <si>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</si>
  <si>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</si>
  <si>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</si>
  <si>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</si>
  <si>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</si>
  <si>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</si>
  <si>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</si>
  <si>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</si>
  <si>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</si>
  <si>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</si>
  <si>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</si>
  <si>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</si>
  <si>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</si>
  <si>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</si>
  <si>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</si>
  <si>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</si>
  <si>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</si>
  <si>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</si>
  <si>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</si>
  <si>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</si>
  <si>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</si>
  <si>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</si>
  <si>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</si>
  <si>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</si>
  <si>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</si>
  <si>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</si>
  <si>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</si>
  <si>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</si>
  <si>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</si>
  <si>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</si>
  <si>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</si>
  <si>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</si>
  <si>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</si>
  <si>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</si>
  <si>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</si>
  <si>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</si>
  <si>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</si>
  <si>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</si>
  <si>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</si>
  <si>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</si>
  <si>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</si>
  <si>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</si>
  <si>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</si>
  <si>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</si>
  <si>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</si>
  <si>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</si>
  <si>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</si>
  <si>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</si>
  <si>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</si>
  <si>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</si>
  <si>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</si>
  <si>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</si>
  <si>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</si>
  <si>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</si>
  <si>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</si>
  <si>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</si>
  <si>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</si>
  <si>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</si>
  <si>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</si>
  <si>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</si>
  <si>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</si>
  <si>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</si>
  <si>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</si>
  <si>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</si>
  <si>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</si>
  <si>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</si>
  <si>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</si>
  <si>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</si>
  <si>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</si>
  <si>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</si>
  <si>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</si>
  <si>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</si>
  <si>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</si>
  <si>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</si>
  <si>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</si>
  <si>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</si>
  <si>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</si>
  <si>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</si>
  <si>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</si>
  <si>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</si>
  <si>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</si>
  <si>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</si>
  <si>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</si>
  <si>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</si>
  <si>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</si>
  <si>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</si>
  <si>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</si>
  <si>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</si>
  <si>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</si>
  <si>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</si>
  <si>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</si>
  <si>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</si>
  <si>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</si>
  <si>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</si>
  <si>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</si>
  <si>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</si>
  <si>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</si>
  <si>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</si>
  <si>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</si>
  <si>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</si>
  <si>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</si>
  <si>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</si>
  <si>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</si>
  <si>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</si>
  <si>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</si>
  <si>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</si>
  <si>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</si>
  <si>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</si>
  <si>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</si>
  <si>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</si>
  <si>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</si>
  <si>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</si>
  <si>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</si>
  <si>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</si>
  <si>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</si>
  <si>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</si>
  <si>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</si>
  <si>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</si>
  <si>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</si>
  <si>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</si>
  <si>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</si>
  <si>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</si>
  <si>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</si>
  <si>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</si>
  <si>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</si>
  <si>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</si>
  <si>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</si>
  <si>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</si>
  <si>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</si>
  <si>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</si>
  <si>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</si>
  <si>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</si>
  <si>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</si>
  <si>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</si>
  <si>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</si>
  <si>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</si>
  <si>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</si>
  <si>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</si>
  <si>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</si>
  <si>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</si>
  <si>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</si>
  <si>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</si>
  <si>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</si>
  <si>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</si>
  <si>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</si>
  <si>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</si>
  <si>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</si>
  <si>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</si>
  <si>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</si>
  <si>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</si>
  <si>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</si>
  <si>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</si>
  <si>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</si>
  <si>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</si>
  <si>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</si>
  <si>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</si>
  <si>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</si>
  <si>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</si>
  <si>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</si>
  <si>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</si>
  <si>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</si>
  <si>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</si>
  <si>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</si>
  <si>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</si>
  <si>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</si>
  <si>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</si>
  <si>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</si>
  <si>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</si>
  <si>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</si>
  <si>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</si>
  <si>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</si>
  <si>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</si>
  <si>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</si>
  <si>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</si>
  <si>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</si>
  <si>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</si>
  <si>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</si>
  <si>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</si>
  <si>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</si>
  <si>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</si>
  <si>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</si>
  <si>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</si>
  <si>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</si>
  <si>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</si>
  <si>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</si>
  <si>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</si>
  <si>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</si>
  <si>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</si>
  <si>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</si>
  <si>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</si>
  <si>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</si>
  <si>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</si>
  <si>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</si>
  <si>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</si>
  <si>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</si>
  <si>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</si>
  <si>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</si>
  <si>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</si>
  <si>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</si>
  <si>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</si>
  <si>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</si>
  <si>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</si>
  <si>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</si>
  <si>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</si>
  <si>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</si>
  <si>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</si>
  <si>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</si>
  <si>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</si>
  <si>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</si>
  <si>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</si>
  <si>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</si>
  <si>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</si>
  <si>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</si>
  <si>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</si>
  <si>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</si>
  <si>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</si>
  <si>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</si>
  <si>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</si>
  <si>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</si>
  <si>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</si>
  <si>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</si>
  <si>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</si>
  <si>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</si>
  <si>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</si>
  <si>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</si>
  <si>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</si>
  <si>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</si>
  <si>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</si>
  <si>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</si>
  <si>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</si>
  <si>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</si>
  <si>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</si>
  <si>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</si>
  <si>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</si>
  <si>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</si>
  <si>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</si>
  <si>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</si>
  <si>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</si>
  <si>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</si>
  <si>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</si>
  <si>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</si>
  <si>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</si>
  <si>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</si>
  <si>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</si>
  <si>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</si>
  <si>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</si>
  <si>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</si>
  <si>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</si>
  <si>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</si>
  <si>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</si>
  <si>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</si>
  <si>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</si>
  <si>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</si>
  <si>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</si>
  <si>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</si>
  <si>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</si>
  <si>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</si>
  <si>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</si>
  <si>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</si>
  <si>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</si>
  <si>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</si>
  <si>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</si>
  <si>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</si>
  <si>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</si>
  <si>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</si>
  <si>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</si>
  <si>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</si>
  <si>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</si>
  <si>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</si>
  <si>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</si>
  <si>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</si>
  <si>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</si>
  <si>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</si>
  <si>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</si>
  <si>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</si>
  <si>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</si>
  <si>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</si>
  <si>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</si>
  <si>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</si>
  <si>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</si>
  <si>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</si>
  <si>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</si>
  <si>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</si>
  <si>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</si>
  <si>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</si>
  <si>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</si>
  <si>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</si>
  <si>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</si>
  <si>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</si>
  <si>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</si>
  <si>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</si>
  <si>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</si>
  <si>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</si>
  <si>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</si>
  <si>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13207</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</si>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</sst>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490</v>
      </c>
      <c r="E5" s="112">
        <f>'Pt 2 Premium and Claims'!E5+'Pt 2 Premium and Claims'!E6-'Pt 2 Premium and Claims'!E7-'Pt 2 Premium and Claims'!E13+'Pt 2 Premium and Claims'!E14+'Pt 2 Premium and Claims'!E15+'Pt 2 Premium and Claims'!E16+'Pt 2 Premium and Claims'!E17</f>
        <v>490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108538</v>
      </c>
      <c r="K5" s="112">
        <f>'Pt 2 Premium and Claims'!K5+'Pt 2 Premium and Claims'!K6-'Pt 2 Premium and Claims'!K7-'Pt 2 Premium and Claims'!K13+'Pt 2 Premium and Claims'!K14+'Pt 2 Premium and Claims'!K15+'Pt 2 Premium and Claims'!K16+'Pt 2 Premium and Claims'!K17</f>
        <v>108538</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15233829</v>
      </c>
      <c r="Q5" s="112">
        <f>'Pt 2 Premium and Claims'!Q5+'Pt 2 Premium and Claims'!Q6-'Pt 2 Premium and Claims'!Q7-'Pt 2 Premium and Claims'!Q13+'Pt 2 Premium and Claims'!Q14</f>
        <v>15234177</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902611</v>
      </c>
      <c r="AT5" s="113">
        <f>'Pt 2 Premium and Claims'!AT5+'Pt 2 Premium and Claims'!AT6-'Pt 2 Premium and Claims'!AT7-'Pt 2 Premium and Claims'!AT13+'Pt 2 Premium and Claims'!AT14</f>
        <v>15145401</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-127</v>
      </c>
      <c r="K7" s="116">
        <f>J7</f>
        <v>-127</v>
      </c>
      <c r="L7" s="116"/>
      <c r="M7" s="116"/>
      <c r="N7" s="116"/>
      <c r="O7" s="115">
        <v>0</v>
      </c>
      <c r="P7" s="115">
        <v>-17811</v>
      </c>
      <c r="Q7" s="116">
        <f>P7</f>
        <v>-17811</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-17708</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10746</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-15459</v>
      </c>
      <c r="E12" s="112">
        <f>'Pt 2 Premium and Claims'!E54</f>
        <v>-6803</v>
      </c>
      <c r="F12" s="112"/>
      <c r="G12" s="112"/>
      <c r="H12" s="112"/>
      <c r="I12" s="111">
        <f>'Pt 2 Premium and Claims'!I54</f>
        <v>0</v>
      </c>
      <c r="J12" s="111">
        <f>'Pt 2 Premium and Claims'!J54</f>
        <v>29451</v>
      </c>
      <c r="K12" s="112">
        <f>'Pt 2 Premium and Claims'!K54</f>
        <v>33444</v>
      </c>
      <c r="L12" s="112"/>
      <c r="M12" s="112"/>
      <c r="N12" s="112"/>
      <c r="O12" s="111">
        <f>'Pt 2 Premium and Claims'!O54</f>
        <v>0</v>
      </c>
      <c r="P12" s="111">
        <f>'Pt 2 Premium and Claims'!P54</f>
        <v>12099070</v>
      </c>
      <c r="Q12" s="112">
        <f>'Pt 2 Premium and Claims'!Q54</f>
        <v>11952076</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1199551</v>
      </c>
      <c r="AT12" s="113">
        <f>'Pt 2 Premium and Claims'!AT54</f>
        <v>9803432</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1358809</v>
      </c>
      <c r="Q13" s="116">
        <v>1296652</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1414184</v>
      </c>
      <c r="AT13" s="119">
        <v>0</v>
      </c>
      <c r="AU13" s="119">
        <v>0</v>
      </c>
      <c r="AV13" s="317"/>
      <c r="AW13" s="324"/>
    </row>
    <row r="14" spans="1:49" ht="25.5" x14ac:dyDescent="0.2">
      <c r="B14" s="161" t="s">
        <v>231</v>
      </c>
      <c r="C14" s="68" t="s">
        <v>6</v>
      </c>
      <c r="D14" s="115">
        <v>0</v>
      </c>
      <c r="E14" s="116">
        <v>1225</v>
      </c>
      <c r="F14" s="116"/>
      <c r="G14" s="294"/>
      <c r="H14" s="297"/>
      <c r="I14" s="115">
        <v>0</v>
      </c>
      <c r="J14" s="115">
        <v>310</v>
      </c>
      <c r="K14" s="116">
        <v>-239</v>
      </c>
      <c r="L14" s="116"/>
      <c r="M14" s="294"/>
      <c r="N14" s="297"/>
      <c r="O14" s="115">
        <v>0</v>
      </c>
      <c r="P14" s="115">
        <v>199546</v>
      </c>
      <c r="Q14" s="116">
        <v>212308</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253722</v>
      </c>
      <c r="AT14" s="119">
        <v>20914</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20771</v>
      </c>
      <c r="Q15" s="116">
        <v>12875</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-1925</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-87</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6205</v>
      </c>
      <c r="E25" s="116">
        <f>D25</f>
        <v>6205</v>
      </c>
      <c r="F25" s="116"/>
      <c r="G25" s="116"/>
      <c r="H25" s="116"/>
      <c r="I25" s="115">
        <v>0</v>
      </c>
      <c r="J25" s="115">
        <v>24602</v>
      </c>
      <c r="K25" s="116">
        <f>J25</f>
        <v>24602</v>
      </c>
      <c r="L25" s="116"/>
      <c r="M25" s="116"/>
      <c r="N25" s="116"/>
      <c r="O25" s="115">
        <v>0</v>
      </c>
      <c r="P25" s="115">
        <v>579306</v>
      </c>
      <c r="Q25" s="116">
        <f>P25</f>
        <v>579306</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-130264</v>
      </c>
      <c r="AT25" s="119">
        <v>1422477</v>
      </c>
      <c r="AU25" s="119">
        <v>0</v>
      </c>
      <c r="AV25" s="119">
        <v>2600041</v>
      </c>
      <c r="AW25" s="324"/>
    </row>
    <row r="26" spans="1:49" s="11" customFormat="1" x14ac:dyDescent="0.2">
      <c r="A26" s="41"/>
      <c r="B26" s="164" t="s">
        <v>243</v>
      </c>
      <c r="C26" s="68"/>
      <c r="D26" s="115">
        <v>0</v>
      </c>
      <c r="E26" s="116">
        <f>D26</f>
        <v>0</v>
      </c>
      <c r="F26" s="116"/>
      <c r="G26" s="116"/>
      <c r="H26" s="116"/>
      <c r="I26" s="115">
        <v>0</v>
      </c>
      <c r="J26" s="115">
        <v>46</v>
      </c>
      <c r="K26" s="116">
        <f>J26</f>
        <v>46</v>
      </c>
      <c r="L26" s="116"/>
      <c r="M26" s="116"/>
      <c r="N26" s="116"/>
      <c r="O26" s="115">
        <v>0</v>
      </c>
      <c r="P26" s="115">
        <v>7387</v>
      </c>
      <c r="Q26" s="116">
        <f>P26</f>
        <v>7387</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6</v>
      </c>
      <c r="E27" s="116">
        <f>D27</f>
        <v>6</v>
      </c>
      <c r="F27" s="116"/>
      <c r="G27" s="116"/>
      <c r="H27" s="116"/>
      <c r="I27" s="115">
        <v>0</v>
      </c>
      <c r="J27" s="115">
        <v>1682</v>
      </c>
      <c r="K27" s="116">
        <f>J27</f>
        <v>1682</v>
      </c>
      <c r="L27" s="116"/>
      <c r="M27" s="116"/>
      <c r="N27" s="116"/>
      <c r="O27" s="115">
        <v>0</v>
      </c>
      <c r="P27" s="115">
        <v>237632</v>
      </c>
      <c r="Q27" s="116">
        <f>P27</f>
        <v>237632</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13731</v>
      </c>
      <c r="AT27" s="119">
        <v>50270</v>
      </c>
      <c r="AU27" s="119">
        <v>0</v>
      </c>
      <c r="AV27" s="320"/>
      <c r="AW27" s="324"/>
    </row>
    <row r="28" spans="1:49" s="11" customFormat="1" x14ac:dyDescent="0.2">
      <c r="A28" s="41"/>
      <c r="B28" s="164" t="s">
        <v>245</v>
      </c>
      <c r="C28" s="68"/>
      <c r="D28" s="115">
        <v>1</v>
      </c>
      <c r="E28" s="116">
        <f>D28</f>
        <v>1</v>
      </c>
      <c r="F28" s="116"/>
      <c r="G28" s="116"/>
      <c r="H28" s="116"/>
      <c r="I28" s="115">
        <v>0</v>
      </c>
      <c r="J28" s="115">
        <v>298</v>
      </c>
      <c r="K28" s="116">
        <f>J28</f>
        <v>298</v>
      </c>
      <c r="L28" s="116"/>
      <c r="M28" s="116"/>
      <c r="N28" s="116"/>
      <c r="O28" s="115">
        <v>0</v>
      </c>
      <c r="P28" s="115">
        <v>42039</v>
      </c>
      <c r="Q28" s="116">
        <f>P28</f>
        <v>42039</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731</v>
      </c>
      <c r="AT28" s="119">
        <v>19330</v>
      </c>
      <c r="AU28" s="119">
        <v>0</v>
      </c>
      <c r="AV28" s="119">
        <v>580575</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v>
      </c>
      <c r="E30" s="116">
        <f>D30</f>
        <v>2</v>
      </c>
      <c r="F30" s="116"/>
      <c r="G30" s="116"/>
      <c r="H30" s="116"/>
      <c r="I30" s="115">
        <v>0</v>
      </c>
      <c r="J30" s="115">
        <v>338</v>
      </c>
      <c r="K30" s="116">
        <f>J30</f>
        <v>338</v>
      </c>
      <c r="L30" s="116"/>
      <c r="M30" s="116"/>
      <c r="N30" s="116"/>
      <c r="O30" s="115">
        <v>0</v>
      </c>
      <c r="P30" s="115">
        <v>47388</v>
      </c>
      <c r="Q30" s="116">
        <f>P30</f>
        <v>47388</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46589</v>
      </c>
      <c r="AU30" s="119">
        <v>0</v>
      </c>
      <c r="AV30" s="119">
        <v>18064</v>
      </c>
      <c r="AW30" s="324"/>
    </row>
    <row r="31" spans="1:49" x14ac:dyDescent="0.2">
      <c r="B31" s="164" t="s">
        <v>248</v>
      </c>
      <c r="C31" s="68"/>
      <c r="D31" s="115">
        <v>9</v>
      </c>
      <c r="E31" s="116">
        <f>D31</f>
        <v>9</v>
      </c>
      <c r="F31" s="116"/>
      <c r="G31" s="116"/>
      <c r="H31" s="116"/>
      <c r="I31" s="115">
        <v>0</v>
      </c>
      <c r="J31" s="115">
        <v>1896</v>
      </c>
      <c r="K31" s="116">
        <f>J31</f>
        <v>1896</v>
      </c>
      <c r="L31" s="116"/>
      <c r="M31" s="116"/>
      <c r="N31" s="116"/>
      <c r="O31" s="115">
        <v>0</v>
      </c>
      <c r="P31" s="115">
        <v>266163</v>
      </c>
      <c r="Q31" s="116">
        <f>P31</f>
        <v>266163</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264624</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197251</v>
      </c>
      <c r="Q34" s="116">
        <f>P34</f>
        <v>197251</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1</v>
      </c>
      <c r="K35" s="116">
        <f>J35</f>
        <v>1</v>
      </c>
      <c r="L35" s="116"/>
      <c r="M35" s="116"/>
      <c r="N35" s="116"/>
      <c r="O35" s="115">
        <v>0</v>
      </c>
      <c r="P35" s="115">
        <v>188</v>
      </c>
      <c r="Q35" s="116">
        <f>P35</f>
        <v>188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24</v>
      </c>
      <c r="AU35" s="119">
        <v>0</v>
      </c>
      <c r="AV35" s="119">
        <v>1392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45</v>
      </c>
      <c r="K37" s="124">
        <v>48</v>
      </c>
      <c r="L37" s="124"/>
      <c r="M37" s="124"/>
      <c r="N37" s="124"/>
      <c r="O37" s="123">
        <v>0</v>
      </c>
      <c r="P37" s="123">
        <v>7536</v>
      </c>
      <c r="Q37" s="124">
        <v>7483</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18355</v>
      </c>
      <c r="AT37" s="125">
        <v>268</v>
      </c>
      <c r="AU37" s="125">
        <v>0</v>
      </c>
      <c r="AV37" s="125">
        <v>708198</v>
      </c>
      <c r="AW37" s="323"/>
    </row>
    <row r="38" spans="1:49" x14ac:dyDescent="0.2">
      <c r="B38" s="161" t="s">
        <v>255</v>
      </c>
      <c r="C38" s="68" t="s">
        <v>16</v>
      </c>
      <c r="D38" s="115">
        <v>0</v>
      </c>
      <c r="E38" s="116">
        <v>0</v>
      </c>
      <c r="F38" s="116"/>
      <c r="G38" s="116"/>
      <c r="H38" s="116"/>
      <c r="I38" s="115">
        <v>0</v>
      </c>
      <c r="J38" s="115">
        <v>2</v>
      </c>
      <c r="K38" s="116">
        <v>2</v>
      </c>
      <c r="L38" s="116"/>
      <c r="M38" s="116"/>
      <c r="N38" s="116"/>
      <c r="O38" s="115">
        <v>0</v>
      </c>
      <c r="P38" s="115">
        <v>774</v>
      </c>
      <c r="Q38" s="116">
        <v>745</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20</v>
      </c>
      <c r="AU38" s="119">
        <v>0</v>
      </c>
      <c r="AV38" s="119">
        <v>57468</v>
      </c>
      <c r="AW38" s="324"/>
    </row>
    <row r="39" spans="1:49" x14ac:dyDescent="0.2">
      <c r="B39" s="164" t="s">
        <v>256</v>
      </c>
      <c r="C39" s="68" t="s">
        <v>17</v>
      </c>
      <c r="D39" s="115">
        <v>0</v>
      </c>
      <c r="E39" s="116">
        <v>0</v>
      </c>
      <c r="F39" s="116"/>
      <c r="G39" s="116"/>
      <c r="H39" s="116"/>
      <c r="I39" s="115">
        <v>0</v>
      </c>
      <c r="J39" s="115">
        <v>51</v>
      </c>
      <c r="K39" s="116">
        <v>53</v>
      </c>
      <c r="L39" s="116"/>
      <c r="M39" s="116"/>
      <c r="N39" s="116"/>
      <c r="O39" s="115">
        <v>0</v>
      </c>
      <c r="P39" s="115">
        <v>10155</v>
      </c>
      <c r="Q39" s="116">
        <v>10143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290</v>
      </c>
      <c r="AU39" s="119">
        <v>0</v>
      </c>
      <c r="AV39" s="119">
        <v>20047</v>
      </c>
      <c r="AW39" s="324"/>
    </row>
    <row r="40" spans="1:49" x14ac:dyDescent="0.2">
      <c r="B40" s="164" t="s">
        <v>257</v>
      </c>
      <c r="C40" s="68" t="s">
        <v>38</v>
      </c>
      <c r="D40" s="115">
        <v>0</v>
      </c>
      <c r="E40" s="116">
        <v>0</v>
      </c>
      <c r="F40" s="116"/>
      <c r="G40" s="116"/>
      <c r="H40" s="116"/>
      <c r="I40" s="115">
        <v>0</v>
      </c>
      <c r="J40" s="115">
        <v>12</v>
      </c>
      <c r="K40" s="116">
        <v>12</v>
      </c>
      <c r="L40" s="116"/>
      <c r="M40" s="116"/>
      <c r="N40" s="116"/>
      <c r="O40" s="115">
        <v>0</v>
      </c>
      <c r="P40" s="115">
        <v>2032</v>
      </c>
      <c r="Q40" s="116">
        <v>2032</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413</v>
      </c>
      <c r="AU40" s="119">
        <v>0</v>
      </c>
      <c r="AV40" s="119">
        <v>120485</v>
      </c>
      <c r="AW40" s="324"/>
    </row>
    <row r="41" spans="1:49" s="11" customFormat="1" ht="25.5" x14ac:dyDescent="0.2">
      <c r="A41" s="41"/>
      <c r="B41" s="164" t="s">
        <v>258</v>
      </c>
      <c r="C41" s="68" t="s">
        <v>129</v>
      </c>
      <c r="D41" s="115">
        <v>0</v>
      </c>
      <c r="E41" s="116">
        <v>0</v>
      </c>
      <c r="F41" s="116"/>
      <c r="G41" s="116"/>
      <c r="H41" s="116"/>
      <c r="I41" s="115">
        <v>0</v>
      </c>
      <c r="J41" s="115">
        <v>42</v>
      </c>
      <c r="K41" s="116">
        <v>42</v>
      </c>
      <c r="L41" s="116"/>
      <c r="M41" s="116"/>
      <c r="N41" s="116"/>
      <c r="O41" s="115">
        <v>0</v>
      </c>
      <c r="P41" s="115">
        <v>6348</v>
      </c>
      <c r="Q41" s="116">
        <v>6348</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1527</v>
      </c>
      <c r="AU41" s="119">
        <v>0</v>
      </c>
      <c r="AV41" s="119">
        <v>281689</v>
      </c>
      <c r="AW41" s="324"/>
    </row>
    <row r="42" spans="1:49" s="11" customFormat="1" ht="24.95" customHeight="1" x14ac:dyDescent="0.2">
      <c r="A42" s="41"/>
      <c r="B42" s="161" t="s">
        <v>259</v>
      </c>
      <c r="C42" s="68" t="s">
        <v>87</v>
      </c>
      <c r="D42" s="115">
        <v>0</v>
      </c>
      <c r="E42" s="116">
        <f>D42</f>
        <v>0</v>
      </c>
      <c r="F42" s="116"/>
      <c r="G42" s="116"/>
      <c r="H42" s="116"/>
      <c r="I42" s="115">
        <v>0</v>
      </c>
      <c r="J42" s="115">
        <v>13</v>
      </c>
      <c r="K42" s="116">
        <f>J42</f>
        <v>13</v>
      </c>
      <c r="L42" s="116"/>
      <c r="M42" s="116"/>
      <c r="N42" s="116"/>
      <c r="O42" s="115">
        <v>0</v>
      </c>
      <c r="P42" s="115">
        <v>1905</v>
      </c>
      <c r="Q42" s="116">
        <f>P42</f>
        <v>1905</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48859</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68</v>
      </c>
      <c r="E44" s="124">
        <v>27</v>
      </c>
      <c r="F44" s="124"/>
      <c r="G44" s="124"/>
      <c r="H44" s="124"/>
      <c r="I44" s="123">
        <v>0</v>
      </c>
      <c r="J44" s="123">
        <v>804</v>
      </c>
      <c r="K44" s="124">
        <v>836</v>
      </c>
      <c r="L44" s="124"/>
      <c r="M44" s="124"/>
      <c r="N44" s="124"/>
      <c r="O44" s="123">
        <v>0</v>
      </c>
      <c r="P44" s="123">
        <v>174079</v>
      </c>
      <c r="Q44" s="124">
        <v>178089</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10345</v>
      </c>
      <c r="AU44" s="125">
        <v>0</v>
      </c>
      <c r="AV44" s="125">
        <v>2882201</v>
      </c>
      <c r="AW44" s="323"/>
    </row>
    <row r="45" spans="1:49" x14ac:dyDescent="0.2">
      <c r="B45" s="167" t="s">
        <v>262</v>
      </c>
      <c r="C45" s="68" t="s">
        <v>19</v>
      </c>
      <c r="D45" s="115">
        <v>1</v>
      </c>
      <c r="E45" s="116">
        <f>D45</f>
        <v>1</v>
      </c>
      <c r="F45" s="116"/>
      <c r="G45" s="116"/>
      <c r="H45" s="116"/>
      <c r="I45" s="115">
        <v>0</v>
      </c>
      <c r="J45" s="115">
        <v>41</v>
      </c>
      <c r="K45" s="116">
        <f>J45</f>
        <v>41</v>
      </c>
      <c r="L45" s="116"/>
      <c r="M45" s="116"/>
      <c r="N45" s="116"/>
      <c r="O45" s="115">
        <v>0</v>
      </c>
      <c r="P45" s="115">
        <v>5799</v>
      </c>
      <c r="Q45" s="116">
        <f>P45</f>
        <v>5799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37</v>
      </c>
      <c r="AT45" s="119">
        <v>2518</v>
      </c>
      <c r="AU45" s="119">
        <v>0</v>
      </c>
      <c r="AV45" s="119">
        <v>4360</v>
      </c>
      <c r="AW45" s="324"/>
    </row>
    <row r="46" spans="1:49" x14ac:dyDescent="0.2">
      <c r="B46" s="167" t="s">
        <v>263</v>
      </c>
      <c r="C46" s="68" t="s">
        <v>20</v>
      </c>
      <c r="D46" s="115">
        <v>12</v>
      </c>
      <c r="E46" s="116">
        <f>D46</f>
        <v>12</v>
      </c>
      <c r="F46" s="116"/>
      <c r="G46" s="116"/>
      <c r="H46" s="116"/>
      <c r="I46" s="115">
        <v>0</v>
      </c>
      <c r="J46" s="115">
        <v>424</v>
      </c>
      <c r="K46" s="116">
        <f>J46</f>
        <v>424</v>
      </c>
      <c r="L46" s="116"/>
      <c r="M46" s="116"/>
      <c r="N46" s="116"/>
      <c r="O46" s="115">
        <v>0</v>
      </c>
      <c r="P46" s="115">
        <v>59920</v>
      </c>
      <c r="Q46" s="116">
        <f>P46</f>
        <v>59920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53779</v>
      </c>
      <c r="AU46" s="119">
        <v>0</v>
      </c>
      <c r="AV46" s="119">
        <v>985155</v>
      </c>
      <c r="AW46" s="324"/>
    </row>
    <row r="47" spans="1:49" x14ac:dyDescent="0.2">
      <c r="B47" s="167" t="s">
        <v>264</v>
      </c>
      <c r="C47" s="68" t="s">
        <v>21</v>
      </c>
      <c r="D47" s="115">
        <v>0</v>
      </c>
      <c r="E47" s="116">
        <f>D47</f>
        <v>0</v>
      </c>
      <c r="F47" s="116"/>
      <c r="G47" s="116"/>
      <c r="H47" s="116"/>
      <c r="I47" s="115">
        <v>0</v>
      </c>
      <c r="J47" s="115">
        <v>2307</v>
      </c>
      <c r="K47" s="116">
        <f>J47</f>
        <v>2307</v>
      </c>
      <c r="L47" s="116"/>
      <c r="M47" s="116"/>
      <c r="N47" s="116"/>
      <c r="O47" s="115">
        <v>0</v>
      </c>
      <c r="P47" s="115">
        <v>323760</v>
      </c>
      <c r="Q47" s="116">
        <f>P47</f>
        <v>323760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325714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-10</v>
      </c>
      <c r="Q49" s="116">
        <f>P49</f>
        <v>-10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12</v>
      </c>
      <c r="AU49" s="119">
        <v>0</v>
      </c>
      <c r="AV49" s="119">
        <v>510</v>
      </c>
      <c r="AW49" s="324"/>
    </row>
    <row r="50" spans="2:49" ht="25.5" x14ac:dyDescent="0.2">
      <c r="B50" s="161" t="s">
        <v>266</v>
      </c>
      <c r="C50" s="68"/>
      <c r="D50" s="115">
        <v>0</v>
      </c>
      <c r="E50" s="116">
        <f>D50</f>
        <v>0</v>
      </c>
      <c r="F50" s="116"/>
      <c r="G50" s="116"/>
      <c r="H50" s="116"/>
      <c r="I50" s="115">
        <v>0</v>
      </c>
      <c r="J50" s="115">
        <v>5</v>
      </c>
      <c r="K50" s="116">
        <f>J50</f>
        <v>5</v>
      </c>
      <c r="L50" s="116"/>
      <c r="M50" s="116"/>
      <c r="N50" s="116"/>
      <c r="O50" s="115">
        <v>0</v>
      </c>
      <c r="P50" s="115">
        <v>655</v>
      </c>
      <c r="Q50" s="116">
        <f>P50</f>
        <v>655</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528</v>
      </c>
      <c r="AT50" s="119">
        <v>59</v>
      </c>
      <c r="AU50" s="119">
        <v>0</v>
      </c>
      <c r="AV50" s="119">
        <v>1771</v>
      </c>
      <c r="AW50" s="324"/>
    </row>
    <row r="51" spans="2:49" x14ac:dyDescent="0.2">
      <c r="B51" s="161" t="s">
        <v>267</v>
      </c>
      <c r="C51" s="68"/>
      <c r="D51" s="115">
        <v>58</v>
      </c>
      <c r="E51" s="116">
        <f>D51</f>
        <v>58</v>
      </c>
      <c r="F51" s="116"/>
      <c r="G51" s="116"/>
      <c r="H51" s="116"/>
      <c r="I51" s="115">
        <v>0</v>
      </c>
      <c r="J51" s="115">
        <v>2142</v>
      </c>
      <c r="K51" s="116">
        <f>J51</f>
        <v>2142</v>
      </c>
      <c r="L51" s="116"/>
      <c r="M51" s="116"/>
      <c r="N51" s="116"/>
      <c r="O51" s="115">
        <v>0</v>
      </c>
      <c r="P51" s="115">
        <v>302621</v>
      </c>
      <c r="Q51" s="116">
        <f>P51</f>
        <v>302621</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60358</v>
      </c>
      <c r="AT51" s="119">
        <v>534092</v>
      </c>
      <c r="AU51" s="119">
        <v>0</v>
      </c>
      <c r="AV51" s="119">
        <v>17283363</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15</v>
      </c>
      <c r="K53" s="116">
        <f>J53</f>
        <v>15</v>
      </c>
      <c r="L53" s="116"/>
      <c r="M53" s="295"/>
      <c r="N53" s="295"/>
      <c r="O53" s="115">
        <v>0</v>
      </c>
      <c r="P53" s="115">
        <v>2118</v>
      </c>
      <c r="Q53" s="116">
        <f>P53</f>
        <v>2118</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52</v>
      </c>
      <c r="AT53" s="119">
        <v>866</v>
      </c>
      <c r="AU53" s="119">
        <v>0</v>
      </c>
      <c r="AV53" s="119">
        <v>61122</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30444131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52</v>
      </c>
      <c r="K56" s="128">
        <f>J56</f>
        <v>52</v>
      </c>
      <c r="L56" s="128"/>
      <c r="M56" s="128"/>
      <c r="N56" s="128"/>
      <c r="O56" s="127">
        <v>0</v>
      </c>
      <c r="P56" s="127">
        <v>2660</v>
      </c>
      <c r="Q56" s="128">
        <f>P56</f>
        <v>2660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854</v>
      </c>
      <c r="AT56" s="129">
        <v>6734</v>
      </c>
      <c r="AU56" s="129">
        <v>0</v>
      </c>
      <c r="AV56" s="129">
        <v>84420</v>
      </c>
      <c r="AW56" s="315"/>
    </row>
    <row r="57" spans="2:49" x14ac:dyDescent="0.2">
      <c r="B57" s="167" t="s">
        <v>273</v>
      </c>
      <c r="C57" s="68" t="s">
        <v>25</v>
      </c>
      <c r="D57" s="130">
        <v>0</v>
      </c>
      <c r="E57" s="131">
        <f>D57</f>
        <v>0</v>
      </c>
      <c r="F57" s="131"/>
      <c r="G57" s="131"/>
      <c r="H57" s="131"/>
      <c r="I57" s="130">
        <v>0</v>
      </c>
      <c r="J57" s="130">
        <v>134</v>
      </c>
      <c r="K57" s="131">
        <f>J57</f>
        <v>134</v>
      </c>
      <c r="L57" s="131"/>
      <c r="M57" s="131"/>
      <c r="N57" s="131"/>
      <c r="O57" s="130">
        <v>0</v>
      </c>
      <c r="P57" s="130">
        <v>4311</v>
      </c>
      <c r="Q57" s="131">
        <f>P57</f>
        <v>4311</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854</v>
      </c>
      <c r="AT57" s="132">
        <v>13617</v>
      </c>
      <c r="AU57" s="132">
        <v>0</v>
      </c>
      <c r="AV57" s="132">
        <v>178871</v>
      </c>
      <c r="AW57" s="316"/>
    </row>
    <row r="58" spans="2:49" x14ac:dyDescent="0.2">
      <c r="B58" s="167" t="s">
        <v>274</v>
      </c>
      <c r="C58" s="68" t="s">
        <v>26</v>
      </c>
      <c r="D58" s="336"/>
      <c r="E58" s="337"/>
      <c r="F58" s="337"/>
      <c r="G58" s="337"/>
      <c r="H58" s="337"/>
      <c r="I58" s="336"/>
      <c r="J58" s="130">
        <v>1</v>
      </c>
      <c r="K58" s="131">
        <f>J58</f>
        <v>1</v>
      </c>
      <c r="L58" s="131"/>
      <c r="M58" s="131"/>
      <c r="N58" s="131"/>
      <c r="O58" s="130">
        <v>0</v>
      </c>
      <c r="P58" s="130">
        <v>11</v>
      </c>
      <c r="Q58" s="131">
        <f>P58</f>
        <v>11</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150</v>
      </c>
      <c r="AU58" s="132">
        <v>0</v>
      </c>
      <c r="AV58" s="132">
        <v>46</v>
      </c>
      <c r="AW58" s="316"/>
    </row>
    <row r="59" spans="2:49" x14ac:dyDescent="0.2">
      <c r="B59" s="167" t="s">
        <v>275</v>
      </c>
      <c r="C59" s="68" t="s">
        <v>27</v>
      </c>
      <c r="D59" s="130">
        <v>1</v>
      </c>
      <c r="E59" s="131">
        <v>1</v>
      </c>
      <c r="F59" s="131"/>
      <c r="G59" s="131"/>
      <c r="H59" s="131"/>
      <c r="I59" s="130">
        <v>0</v>
      </c>
      <c r="J59" s="130">
        <v>268</v>
      </c>
      <c r="K59" s="131">
        <v>268</v>
      </c>
      <c r="L59" s="131"/>
      <c r="M59" s="131"/>
      <c r="N59" s="131"/>
      <c r="O59" s="130">
        <v>0</v>
      </c>
      <c r="P59" s="130">
        <v>37854</v>
      </c>
      <c r="Q59" s="131">
        <v>37854</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9207</v>
      </c>
      <c r="AT59" s="132">
        <v>153853</v>
      </c>
      <c r="AU59" s="132">
        <v>0</v>
      </c>
      <c r="AV59" s="132">
        <v>2177897</v>
      </c>
      <c r="AW59" s="316"/>
    </row>
    <row r="60" spans="2:49" x14ac:dyDescent="0.2">
      <c r="B60" s="167" t="s">
        <v>276</v>
      </c>
      <c r="C60" s="68"/>
      <c r="D60" s="133">
        <f>D59/12</f>
        <v>8.3333333333333329E-2</v>
      </c>
      <c r="E60" s="134">
        <f>E59/12</f>
        <v>8.3333333333333329E-2</v>
      </c>
      <c r="F60" s="134"/>
      <c r="G60" s="134"/>
      <c r="H60" s="134"/>
      <c r="I60" s="133">
        <f>I59/12</f>
        <v>0</v>
      </c>
      <c r="J60" s="133">
        <f>J59/12</f>
        <v>22.333333333333332</v>
      </c>
      <c r="K60" s="134">
        <f>K59/12</f>
        <v>22.333333333333332</v>
      </c>
      <c r="L60" s="134"/>
      <c r="M60" s="134"/>
      <c r="N60" s="134"/>
      <c r="O60" s="133">
        <f>O59/12</f>
        <v>0</v>
      </c>
      <c r="P60" s="133">
        <f>P59/12</f>
        <v>3154.5</v>
      </c>
      <c r="Q60" s="134">
        <f>Q59/12</f>
        <v>3154.5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767.25</v>
      </c>
      <c r="AT60" s="135">
        <f>AT59/12</f>
        <v>12821.083333333334</v>
      </c>
      <c r="AU60" s="135">
        <f>AU59/12</f>
        <v>0</v>
      </c>
      <c r="AV60" s="135">
        <f>AV59/12</f>
        <v>181491.41666666666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803707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272538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22197</v>
      </c>
      <c r="E5" s="124">
        <v>490</v>
      </c>
      <c r="F5" s="124"/>
      <c r="G5" s="136"/>
      <c r="H5" s="136"/>
      <c r="I5" s="123">
        <v>0</v>
      </c>
      <c r="J5" s="123">
        <v>108538</v>
      </c>
      <c r="K5" s="124">
        <v>108538</v>
      </c>
      <c r="L5" s="124"/>
      <c r="M5" s="124"/>
      <c r="N5" s="124"/>
      <c r="O5" s="123">
        <v>0</v>
      </c>
      <c r="P5" s="123">
        <v>15246572</v>
      </c>
      <c r="Q5" s="124">
        <v>15220034</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904739</v>
      </c>
      <c r="AT5" s="125">
        <v>15185105</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13663</v>
      </c>
      <c r="Q6" s="116">
        <v>13663</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17148</v>
      </c>
      <c r="AT6" s="119">
        <v>50084</v>
      </c>
      <c r="AU6" s="119">
        <v>0</v>
      </c>
      <c r="AV6" s="317"/>
      <c r="AW6" s="324"/>
    </row>
    <row r="7" spans="2:49" x14ac:dyDescent="0.2">
      <c r="B7" s="182" t="s">
        <v>280</v>
      </c>
      <c r="C7" s="139" t="s">
        <v>9</v>
      </c>
      <c r="D7" s="115">
        <v>21707</v>
      </c>
      <c r="E7" s="116"/>
      <c r="F7" s="116"/>
      <c r="G7" s="117"/>
      <c r="H7" s="117"/>
      <c r="I7" s="115"/>
      <c r="J7" s="115">
        <v>0</v>
      </c>
      <c r="K7" s="116"/>
      <c r="L7" s="116"/>
      <c r="M7" s="116"/>
      <c r="N7" s="116"/>
      <c r="O7" s="115"/>
      <c r="P7" s="115">
        <v>27321</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19036</v>
      </c>
      <c r="AT7" s="119">
        <v>98167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13720</v>
      </c>
      <c r="E9" s="294"/>
      <c r="F9" s="294"/>
      <c r="G9" s="294"/>
      <c r="H9" s="294"/>
      <c r="I9" s="298"/>
      <c r="J9" s="115">
        <f>J38</f>
        <v>0</v>
      </c>
      <c r="K9" s="294"/>
      <c r="L9" s="294"/>
      <c r="M9" s="294"/>
      <c r="N9" s="294"/>
      <c r="O9" s="298"/>
      <c r="P9" s="115">
        <f>P38</f>
        <v>274050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13720</v>
      </c>
      <c r="F10" s="116"/>
      <c r="G10" s="116"/>
      <c r="H10" s="116"/>
      <c r="I10" s="115">
        <f>0</f>
        <v>0</v>
      </c>
      <c r="J10" s="299"/>
      <c r="K10" s="116">
        <f>K39</f>
        <v>0</v>
      </c>
      <c r="L10" s="116"/>
      <c r="M10" s="116"/>
      <c r="N10" s="116"/>
      <c r="O10" s="115">
        <f>0</f>
        <v>0</v>
      </c>
      <c r="P10" s="299"/>
      <c r="Q10" s="116">
        <f>Q39</f>
        <v>274050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-18955</v>
      </c>
      <c r="F11" s="116"/>
      <c r="G11" s="116"/>
      <c r="H11" s="116"/>
      <c r="I11" s="115">
        <f>0</f>
        <v>0</v>
      </c>
      <c r="J11" s="115">
        <f>J41</f>
        <v>0</v>
      </c>
      <c r="K11" s="116">
        <f>K42</f>
        <v>0</v>
      </c>
      <c r="L11" s="116"/>
      <c r="M11" s="116"/>
      <c r="N11" s="116"/>
      <c r="O11" s="115">
        <f>0</f>
        <v>0</v>
      </c>
      <c r="P11" s="115">
        <f>P41</f>
        <v>277336</v>
      </c>
      <c r="Q11" s="116">
        <f>Q42</f>
        <v>-102748</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18955</v>
      </c>
      <c r="E12" s="295"/>
      <c r="F12" s="295"/>
      <c r="G12" s="295"/>
      <c r="H12" s="295"/>
      <c r="I12" s="299"/>
      <c r="J12" s="115">
        <f>J43</f>
        <v>0</v>
      </c>
      <c r="K12" s="295"/>
      <c r="L12" s="295"/>
      <c r="M12" s="295"/>
      <c r="N12" s="295"/>
      <c r="O12" s="299"/>
      <c r="P12" s="115">
        <f>P43</f>
        <v>380084</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-915</v>
      </c>
      <c r="Q13" s="116">
        <v>-480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240</v>
      </c>
      <c r="AT13" s="119">
        <v>-8379</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-482</v>
      </c>
      <c r="E23" s="294"/>
      <c r="F23" s="294"/>
      <c r="G23" s="294"/>
      <c r="H23" s="294"/>
      <c r="I23" s="298"/>
      <c r="J23" s="115">
        <v>20777</v>
      </c>
      <c r="K23" s="294"/>
      <c r="L23" s="294"/>
      <c r="M23" s="294"/>
      <c r="N23" s="294"/>
      <c r="O23" s="298"/>
      <c r="P23" s="115">
        <v>12469105</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1313935</v>
      </c>
      <c r="AT23" s="119">
        <v>9410414</v>
      </c>
      <c r="AU23" s="119">
        <v>0</v>
      </c>
      <c r="AV23" s="317"/>
      <c r="AW23" s="324"/>
    </row>
    <row r="24" spans="2:49" ht="28.5" customHeight="1" x14ac:dyDescent="0.2">
      <c r="B24" s="184" t="s">
        <v>114</v>
      </c>
      <c r="C24" s="139"/>
      <c r="D24" s="299"/>
      <c r="E24" s="116">
        <v>-918</v>
      </c>
      <c r="F24" s="116"/>
      <c r="G24" s="116"/>
      <c r="H24" s="116"/>
      <c r="I24" s="115">
        <v>0</v>
      </c>
      <c r="J24" s="299"/>
      <c r="K24" s="116">
        <v>32187</v>
      </c>
      <c r="L24" s="116"/>
      <c r="M24" s="116"/>
      <c r="N24" s="116"/>
      <c r="O24" s="115">
        <v>0</v>
      </c>
      <c r="P24" s="299"/>
      <c r="Q24" s="116">
        <v>11760418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201</v>
      </c>
      <c r="E26" s="294"/>
      <c r="F26" s="294"/>
      <c r="G26" s="294"/>
      <c r="H26" s="294"/>
      <c r="I26" s="298"/>
      <c r="J26" s="115">
        <v>9243</v>
      </c>
      <c r="K26" s="294"/>
      <c r="L26" s="294"/>
      <c r="M26" s="294"/>
      <c r="N26" s="294"/>
      <c r="O26" s="298"/>
      <c r="P26" s="115">
        <v>1525068</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57861</v>
      </c>
      <c r="AT26" s="119">
        <v>1612208</v>
      </c>
      <c r="AU26" s="119">
        <v>0</v>
      </c>
      <c r="AV26" s="317"/>
      <c r="AW26" s="324"/>
    </row>
    <row r="27" spans="2:49" s="11" customFormat="1" ht="25.5" x14ac:dyDescent="0.2">
      <c r="B27" s="184" t="s">
        <v>85</v>
      </c>
      <c r="C27" s="139"/>
      <c r="D27" s="299"/>
      <c r="E27" s="116">
        <v>-580</v>
      </c>
      <c r="F27" s="116"/>
      <c r="G27" s="116"/>
      <c r="H27" s="116"/>
      <c r="I27" s="115">
        <v>0</v>
      </c>
      <c r="J27" s="299"/>
      <c r="K27" s="116">
        <v>1222</v>
      </c>
      <c r="L27" s="116"/>
      <c r="M27" s="116"/>
      <c r="N27" s="116"/>
      <c r="O27" s="115">
        <v>0</v>
      </c>
      <c r="P27" s="299"/>
      <c r="Q27" s="116">
        <v>25738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11140</v>
      </c>
      <c r="E28" s="295"/>
      <c r="F28" s="295"/>
      <c r="G28" s="295"/>
      <c r="H28" s="295"/>
      <c r="I28" s="299"/>
      <c r="J28" s="115">
        <v>0</v>
      </c>
      <c r="K28" s="295"/>
      <c r="L28" s="295"/>
      <c r="M28" s="295"/>
      <c r="N28" s="295"/>
      <c r="O28" s="299"/>
      <c r="P28" s="115">
        <v>2100523</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1219190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v>
      </c>
      <c r="E34" s="294"/>
      <c r="F34" s="294"/>
      <c r="G34" s="294"/>
      <c r="H34" s="294"/>
      <c r="I34" s="298"/>
      <c r="J34" s="115">
        <v>80</v>
      </c>
      <c r="K34" s="294"/>
      <c r="L34" s="294"/>
      <c r="M34" s="294"/>
      <c r="N34" s="294"/>
      <c r="O34" s="298"/>
      <c r="P34" s="115">
        <v>11058</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v>
      </c>
      <c r="F35" s="116"/>
      <c r="G35" s="116"/>
      <c r="H35" s="116"/>
      <c r="I35" s="115">
        <v>0</v>
      </c>
      <c r="J35" s="299"/>
      <c r="K35" s="116">
        <f>J34</f>
        <v>80</v>
      </c>
      <c r="L35" s="116"/>
      <c r="M35" s="116"/>
      <c r="N35" s="116"/>
      <c r="O35" s="115">
        <v>0</v>
      </c>
      <c r="P35" s="299"/>
      <c r="Q35" s="116">
        <f>P34</f>
        <v>11058</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72</v>
      </c>
      <c r="E36" s="116">
        <f>D36</f>
        <v>72</v>
      </c>
      <c r="F36" s="116"/>
      <c r="G36" s="116"/>
      <c r="H36" s="116"/>
      <c r="I36" s="115">
        <v>0</v>
      </c>
      <c r="J36" s="115">
        <v>0</v>
      </c>
      <c r="K36" s="116">
        <f>J36</f>
        <v>0</v>
      </c>
      <c r="L36" s="116"/>
      <c r="M36" s="116"/>
      <c r="N36" s="116"/>
      <c r="O36" s="115">
        <v>0</v>
      </c>
      <c r="P36" s="115">
        <v>16769</v>
      </c>
      <c r="Q36" s="116">
        <f>P36</f>
        <v>16769</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13720</v>
      </c>
      <c r="E38" s="294"/>
      <c r="F38" s="294"/>
      <c r="G38" s="294"/>
      <c r="H38" s="294"/>
      <c r="I38" s="298"/>
      <c r="J38" s="115">
        <v>0</v>
      </c>
      <c r="K38" s="294"/>
      <c r="L38" s="294"/>
      <c r="M38" s="294"/>
      <c r="N38" s="294"/>
      <c r="O38" s="298"/>
      <c r="P38" s="115">
        <v>274050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13720</v>
      </c>
      <c r="F39" s="116"/>
      <c r="G39" s="116"/>
      <c r="H39" s="116"/>
      <c r="I39" s="115">
        <v>0</v>
      </c>
      <c r="J39" s="299"/>
      <c r="K39" s="116">
        <v>0</v>
      </c>
      <c r="L39" s="116"/>
      <c r="M39" s="116"/>
      <c r="N39" s="116"/>
      <c r="O39" s="115">
        <v>0</v>
      </c>
      <c r="P39" s="299"/>
      <c r="Q39" s="116">
        <v>274050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277336</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-18955</v>
      </c>
      <c r="F42" s="116"/>
      <c r="G42" s="116"/>
      <c r="H42" s="116"/>
      <c r="I42" s="115">
        <v>0</v>
      </c>
      <c r="J42" s="299"/>
      <c r="K42" s="116">
        <v>0</v>
      </c>
      <c r="L42" s="116"/>
      <c r="M42" s="116"/>
      <c r="N42" s="116"/>
      <c r="O42" s="115">
        <v>0</v>
      </c>
      <c r="P42" s="299"/>
      <c r="Q42" s="116">
        <v>-102748</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18955</v>
      </c>
      <c r="E43" s="295"/>
      <c r="F43" s="295"/>
      <c r="G43" s="295"/>
      <c r="H43" s="295"/>
      <c r="I43" s="299"/>
      <c r="J43" s="115">
        <v>0</v>
      </c>
      <c r="K43" s="295"/>
      <c r="L43" s="295"/>
      <c r="M43" s="295"/>
      <c r="N43" s="295"/>
      <c r="O43" s="299"/>
      <c r="P43" s="115">
        <v>380084</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8427</v>
      </c>
      <c r="Q45" s="116">
        <v>6287</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649</v>
      </c>
      <c r="K49" s="116">
        <v>45</v>
      </c>
      <c r="L49" s="116"/>
      <c r="M49" s="116"/>
      <c r="N49" s="116"/>
      <c r="O49" s="115">
        <v>0</v>
      </c>
      <c r="P49" s="115">
        <v>114009</v>
      </c>
      <c r="Q49" s="116">
        <v>5958</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172245</v>
      </c>
      <c r="AT49" s="119">
        <v>0</v>
      </c>
      <c r="AU49" s="119">
        <v>0</v>
      </c>
      <c r="AV49" s="317"/>
      <c r="AW49" s="324"/>
    </row>
    <row r="50" spans="2:49" x14ac:dyDescent="0.2">
      <c r="B50" s="182" t="s">
        <v>119</v>
      </c>
      <c r="C50" s="139" t="s">
        <v>34</v>
      </c>
      <c r="D50" s="115">
        <v>1266</v>
      </c>
      <c r="E50" s="295"/>
      <c r="F50" s="295"/>
      <c r="G50" s="295"/>
      <c r="H50" s="295"/>
      <c r="I50" s="299"/>
      <c r="J50" s="115">
        <v>0</v>
      </c>
      <c r="K50" s="295"/>
      <c r="L50" s="295"/>
      <c r="M50" s="295"/>
      <c r="N50" s="295"/>
      <c r="O50" s="299"/>
      <c r="P50" s="115">
        <v>145411</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-15459</v>
      </c>
      <c r="E54" s="121">
        <f>E24+E27+E31+E35-E36+E39+E42+E45+E46-E49+E51+E52+E53</f>
        <v>-6803</v>
      </c>
      <c r="F54" s="121"/>
      <c r="G54" s="121"/>
      <c r="H54" s="121"/>
      <c r="I54" s="120">
        <f>I24+I27+I31+I35-I36+I39+I42+I45+I46-I49+I51+I52+I53</f>
        <v>0</v>
      </c>
      <c r="J54" s="120">
        <f>J23+J26-J28+J30-J32+J34-J36+J38+J41-J43+J45+J46-J47-J49+J50+J51+J52+J53</f>
        <v>29451</v>
      </c>
      <c r="K54" s="121">
        <f>K24+K27+K31+K35-K36+K39+K42+K45+K46-K49+K51+K52+K53</f>
        <v>33444</v>
      </c>
      <c r="L54" s="121"/>
      <c r="M54" s="121"/>
      <c r="N54" s="121"/>
      <c r="O54" s="120">
        <f>O24+O27+O31+O35-O36+O39+O42+O45+O46-O49+O51+O52+O53</f>
        <v>0</v>
      </c>
      <c r="P54" s="120">
        <f>P23+P26-P28+P30-P32+P34-P36+P38+P41-P43+P45+P46-P47-P49+P50+P51+P52+P53</f>
        <v>12099070</v>
      </c>
      <c r="Q54" s="121">
        <f>Q24+Q27+Q31+Q35-Q36+Q39+Q42+Q45+Q46-Q49+Q51+Q52+Q53</f>
        <v>11952076</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1199551</v>
      </c>
      <c r="AT54" s="122">
        <f>AT23+AT26-AT28+AT30-AT32+AT34-AT36+AT38+AT41-AT43+AT45+AT46-AT47-AT49+AT50+AT51+AT52+AT53</f>
        <v>9803432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812.11</v>
      </c>
      <c r="D5" s="124">
        <v>46929</v>
      </c>
      <c r="E5" s="352"/>
      <c r="F5" s="352"/>
      <c r="G5" s="318"/>
      <c r="H5" s="123">
        <v>0</v>
      </c>
      <c r="I5" s="124">
        <v>0</v>
      </c>
      <c r="J5" s="352"/>
      <c r="K5" s="352"/>
      <c r="L5" s="318"/>
      <c r="M5" s="123">
        <v>8529957.4100000001</v>
      </c>
      <c r="N5" s="124">
        <v>16302023</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1568</v>
      </c>
      <c r="D6" s="116">
        <v>45204</v>
      </c>
      <c r="E6" s="121">
        <f>SUM('Pt 1 Summary of Data'!E$12,'Pt 1 Summary of Data'!E$22)+SUM('Pt 1 Summary of Data'!G$12,'Pt 1 Summary of Data'!G$22)-SUM('Pt 1 Summary of Data'!H$12,'Pt 1 Summary of Data'!H$22)</f>
        <v>-6803</v>
      </c>
      <c r="F6" s="121">
        <f>SUM(C6:E6)</f>
        <v>39969</v>
      </c>
      <c r="G6" s="122">
        <f>'Pt 1 Summary of Data'!I12+'Pt 1 Summary of Data'!I22</f>
        <v>0</v>
      </c>
      <c r="H6" s="115">
        <v>0</v>
      </c>
      <c r="I6" s="116">
        <v>0</v>
      </c>
      <c r="J6" s="121">
        <f>'Pt 1 Summary of Data'!K12+'Pt 1 Summary of Data'!K22</f>
        <v>33444</v>
      </c>
      <c r="K6" s="121">
        <f>SUM(H6:J6)</f>
        <v>33444</v>
      </c>
      <c r="L6" s="122">
        <f>'Pt 1 Summary of Data'!O12+'Pt 1 Summary of Data'!O22</f>
        <v>0</v>
      </c>
      <c r="M6" s="115">
        <v>8728582</v>
      </c>
      <c r="N6" s="116">
        <v>16400836</v>
      </c>
      <c r="O6" s="121">
        <f>'Pt 1 Summary of Data'!Q12+'Pt 1 Summary of Data'!Q22</f>
        <v>11952076</v>
      </c>
      <c r="P6" s="121">
        <f>SUM(M6:O6)</f>
        <v>37081494</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v>
      </c>
      <c r="D7" s="116">
        <v>140</v>
      </c>
      <c r="E7" s="121">
        <f>SUM('Pt 1 Summary of Data'!E37:E41)+MAX(0,MIN('Pt 1 Summary of Data'!E42,0.3%*('Pt 1 Summary of Data'!E5-SUM(E9:E11))))</f>
        <v>0</v>
      </c>
      <c r="F7" s="121">
        <f>SUM(C7:E7)</f>
        <v>146</v>
      </c>
      <c r="G7" s="122">
        <f>SUM('Pt 1 Summary of Data'!I37:I41)+MAX(0,MIN('Pt 1 Summary of Data'!I42,0.3%*('Pt 1 Summary of Data'!I5-SUM(G9:G10))))</f>
        <v>0</v>
      </c>
      <c r="H7" s="115">
        <v>0</v>
      </c>
      <c r="I7" s="116">
        <v>0</v>
      </c>
      <c r="J7" s="121">
        <f>SUM('Pt 1 Summary of Data'!K37:K41)+MAX(0,MIN('Pt 1 Summary of Data'!K42,0.3%*('Pt 1 Summary of Data'!K5-SUM(J10:J11))))</f>
        <v>170</v>
      </c>
      <c r="K7" s="121">
        <f>SUM(H7:J7)</f>
        <v>170</v>
      </c>
      <c r="L7" s="122">
        <f>SUM('Pt 1 Summary of Data'!O37:O41)+MAX(0,MIN('Pt 1 Summary of Data'!O42,0.3%*('Pt 1 Summary of Data'!O5-L10)))</f>
        <v>0</v>
      </c>
      <c r="M7" s="115">
        <v>99289</v>
      </c>
      <c r="N7" s="116">
        <v>120703</v>
      </c>
      <c r="O7" s="121">
        <f>SUM('Pt 1 Summary of Data'!Q37:Q41)+MAX(0,MIN('Pt 1 Summary of Data'!Q42,0.3%*('Pt 1 Summary of Data'!Q5)))</f>
        <v>28656</v>
      </c>
      <c r="P7" s="121">
        <f>SUM(M7:O7)</f>
        <v>248648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1574</v>
      </c>
      <c r="D12" s="121">
        <f>SUM(D$6:D$7)+IF(AND(OR('Company Information'!$C$12="District of Columbia",'Company Information'!$C$12="Massachusetts",'Company Information'!$C$12="Vermont"),SUM($C$6:$F$11,$C$15:$F$16,$C$37:$D$37)&lt;&gt;0),SUM(I$6:I$7),0)</f>
        <v>45344</v>
      </c>
      <c r="E12" s="121">
        <f>SUM(E$6:E$7)-SUM(E$8:E$11)+IF(AND(OR('Company Information'!$C$12="District of Columbia",'Company Information'!$C$12="Massachusetts",'Company Information'!$C$12="Vermont"),SUM($C$6:$F$11,$C$15:$F$16,$C$37:$D$37)&lt;&gt;0),SUM(J$6:J$7)-SUM(J$10:J$11),0)</f>
        <v>-6803</v>
      </c>
      <c r="F12" s="121">
        <f>IFERROR(SUM(C$12:E$12)+C$17*MAX(0,E$49-C$49)+D$17*MAX(0,E$49-D$49),0)</f>
        <v>40115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33614</v>
      </c>
      <c r="K12" s="121">
        <f>IFERROR(SUM(H$12:J$12)+H$17*MAX(0,J$49-H$49)+I$17*MAX(0,J$49-I$49),0)</f>
        <v>33614</v>
      </c>
      <c r="L12" s="317"/>
      <c r="M12" s="120">
        <f>SUM(M$6:M$7)</f>
        <v>8827871</v>
      </c>
      <c r="N12" s="121">
        <f>SUM(N$6:N$7)</f>
        <v>16521539</v>
      </c>
      <c r="O12" s="121">
        <f>SUM(O$6:O$7)</f>
        <v>11980732</v>
      </c>
      <c r="P12" s="121">
        <f>SUM(M$12:O$12)+M$17*MAX(0,O$49-M$49)+N$17*MAX(0,O$49-N$49)</f>
        <v>37330142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1049</v>
      </c>
      <c r="D15" s="124">
        <v>100634</v>
      </c>
      <c r="E15" s="112">
        <f>SUM('Pt 1 Summary of Data'!E$5:E$7)+SUM('Pt 1 Summary of Data'!G$5:G$7)-SUM('Pt 1 Summary of Data'!H$5:H$7)-SUM(E$9:E$11)+D$55</f>
        <v>489</v>
      </c>
      <c r="F15" s="112">
        <f>SUM(C15:E15)</f>
        <v>102172</v>
      </c>
      <c r="G15" s="113">
        <f>SUM('Pt 1 Summary of Data'!I$5:I$7)-SUM(G$9:G$10)</f>
        <v>0</v>
      </c>
      <c r="H15" s="123">
        <v>0</v>
      </c>
      <c r="I15" s="124">
        <v>0</v>
      </c>
      <c r="J15" s="112">
        <f>SUM('Pt 1 Summary of Data'!K$5:K$7)+SUM('Pt 1 Summary of Data'!M$5:M$7)-SUM('Pt 1 Summary of Data'!N$5:N$7)-SUM(J$10:J$11)+I$55</f>
        <v>108411</v>
      </c>
      <c r="K15" s="112">
        <f>SUM(H15:J15)</f>
        <v>108411</v>
      </c>
      <c r="L15" s="113">
        <f>SUM('Pt 1 Summary of Data'!O5:O7)-L10</f>
        <v>0</v>
      </c>
      <c r="M15" s="123">
        <v>10014744</v>
      </c>
      <c r="N15" s="124">
        <v>18489721</v>
      </c>
      <c r="O15" s="112">
        <f>SUM('Pt 1 Summary of Data'!Q5:Q7)+N55</f>
        <v>15266701</v>
      </c>
      <c r="P15" s="112">
        <f>SUM(M15:O15)</f>
        <v>43771166</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-108</v>
      </c>
      <c r="D16" s="116">
        <v>16914</v>
      </c>
      <c r="E16" s="121">
        <f>'Pt 1 Summary of Data'!E25+'Pt 1 Summary of Data'!E26+'Pt 1 Summary of Data'!E27+'Pt 1 Summary of Data'!E28+'Pt 1 Summary of Data'!E30+'Pt 1 Summary of Data'!E31+'Pt 1 Summary of Data'!E34+'Pt 1 Summary of Data'!E35+'Pt 3 MLR and Rebate Calculation'!D56</f>
        <v>6223</v>
      </c>
      <c r="F16" s="121">
        <f>SUM(C16:E16)</f>
        <v>23029</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28863</v>
      </c>
      <c r="K16" s="121">
        <f>SUM(H16:J16)</f>
        <v>28863</v>
      </c>
      <c r="L16" s="122">
        <f>'Pt 1 Summary of Data'!O25+'Pt 1 Summary of Data'!O26+'Pt 1 Summary of Data'!O27+'Pt 1 Summary of Data'!O28+'Pt 1 Summary of Data'!O30+'Pt 1 Summary of Data'!O31+'Pt 1 Summary of Data'!O34+'Pt 1 Summary of Data'!O35</f>
        <v>0</v>
      </c>
      <c r="M16" s="115">
        <v>121609</v>
      </c>
      <c r="N16" s="116">
        <v>372166</v>
      </c>
      <c r="O16" s="121">
        <f>'Pt 1 Summary of Data'!Q25+'Pt 1 Summary of Data'!Q26+'Pt 1 Summary of Data'!Q27+'Pt 1 Summary of Data'!Q28+'Pt 1 Summary of Data'!Q30+'Pt 1 Summary of Data'!Q31+'Pt 1 Summary of Data'!Q34+'Pt 1 Summary of Data'!Q35+'Pt 3 MLR and Rebate Calculation'!N56</f>
        <v>1395782</v>
      </c>
      <c r="P16" s="121">
        <f>SUM(M16:O16)</f>
        <v>1889557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1157</v>
      </c>
      <c r="D17" s="121">
        <f>D$15-D$16+IF(AND(OR('Company Information'!$C$12="District of Columbia",'Company Information'!$C$12="Massachusetts",'Company Information'!$C$12="Vermont"),SUM($C$6:$F$11,$C$15:$F$16,$C$37:$D$37)&lt;&gt;0),I$15-I$16,0)</f>
        <v>83720</v>
      </c>
      <c r="E17" s="121">
        <f>E$15-E$16+IF(AND(OR('Company Information'!$C$12="District of Columbia",'Company Information'!$C$12="Massachusetts",'Company Information'!$C$12="Vermont"),SUM($C$6:$F$11,$C$15:$F$16,$C$37:$D$37)&lt;&gt;0),J$15-J$16,0)</f>
        <v>-5734</v>
      </c>
      <c r="F17" s="121">
        <f>F$15-F$16+IF(AND(OR('Company Information'!$C$12="District of Columbia",'Company Information'!$C$12="Massachusetts",'Company Information'!$C$12="Vermont"),SUM($C$6:$F$11,$C$15:$F$16,$C$37:$D$37)&lt;&gt;0),K$15-K$16,0)</f>
        <v>79143</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79548</v>
      </c>
      <c r="K17" s="121">
        <f>K$15-K$16+IF(AND(OR('Company Information'!$C$12="District of Columbia",'Company Information'!$C$12="Massachusetts",'Company Information'!$C$12="Vermont"),SUM($H$6:$K$11,$H$15:$K$16,$H$37:$I$37)&lt;&gt;0),F$15-F$16,0)</f>
        <v>79548</v>
      </c>
      <c r="L17" s="320"/>
      <c r="M17" s="120">
        <f>M$15-M$16</f>
        <v>9893135</v>
      </c>
      <c r="N17" s="121">
        <f>N$15-N$16</f>
        <v>18117555</v>
      </c>
      <c r="O17" s="121">
        <f>O$15-O$16</f>
        <v>13870919</v>
      </c>
      <c r="P17" s="121">
        <f>P$15-P$16</f>
        <v>41881609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7</v>
      </c>
      <c r="E37" s="262">
        <f>'Pt 1 Summary of Data'!E60</f>
        <v>8.3333333333333329E-2</v>
      </c>
      <c r="F37" s="262">
        <f>SUM(C37:E37)</f>
        <v>7.083333333333333</v>
      </c>
      <c r="G37" s="318"/>
      <c r="H37" s="127">
        <v>0</v>
      </c>
      <c r="I37" s="128">
        <v>0</v>
      </c>
      <c r="J37" s="262">
        <f>'Pt 1 Summary of Data'!K60</f>
        <v>22.333333333333332</v>
      </c>
      <c r="K37" s="262">
        <f>SUM(H37:J37)</f>
        <v>22.333333333333332</v>
      </c>
      <c r="L37" s="318"/>
      <c r="M37" s="127">
        <v>3106</v>
      </c>
      <c r="N37" s="128">
        <v>4934</v>
      </c>
      <c r="O37" s="262">
        <f>'Pt 1 Summary of Data'!Q60</f>
        <v>3154.5</v>
      </c>
      <c r="P37" s="262">
        <f>SUM(M37:O37)</f>
        <v>11194.5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2.5203666666666666E-2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2.5203666666666666E-2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0.89232290876451192</v>
      </c>
      <c r="N44" s="266">
        <f>IF(OR(N$37&lt;1000,N$17&lt;=0),"",N$12/N$17)</f>
        <v>0.91190776018066455</v>
      </c>
      <c r="O44" s="266">
        <f>IF(OR(O$37&lt;1000,O$17&lt;=0),"",O$12/O$17)</f>
        <v>0.8637302258055144</v>
      </c>
      <c r="P44" s="266">
        <f>IF(OR(P$37&lt;1000,P$17&lt;=0),"",P$12/P$17)</f>
        <v>0.89132540251736747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2.5203666666666666E-2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0.91700000000000004</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0.91700000000000004</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13870919</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50335</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18428</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52</v>
      </c>
      <c r="E4" s="155">
        <f>'Pt 1 Summary of Data'!P56</f>
        <v>2660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