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46" i="10"/>
  <c r="Y17" i="10"/>
  <c r="Y13" i="10"/>
  <c r="X41" i="10"/>
  <c r="W16" i="10"/>
  <c r="X16" i="10" s="1"/>
  <c r="T41" i="10"/>
  <c r="S16" i="10"/>
  <c r="T16" i="10" s="1"/>
  <c r="P41" i="10"/>
  <c r="P16" i="10"/>
  <c r="O38" i="10"/>
  <c r="O16" i="10"/>
  <c r="N17" i="10"/>
  <c r="N45" i="10" s="1"/>
  <c r="N12" i="10"/>
  <c r="M45" i="10"/>
  <c r="M17" i="10"/>
  <c r="M12" i="10"/>
  <c r="L60" i="10"/>
  <c r="L58" i="10" s="1"/>
  <c r="L59" i="10"/>
  <c r="L36" i="10"/>
  <c r="L35" i="10"/>
  <c r="L16" i="10"/>
  <c r="L10" i="10"/>
  <c r="K41" i="10"/>
  <c r="K16" i="10"/>
  <c r="K10" i="10"/>
  <c r="J16" i="10"/>
  <c r="J11" i="10"/>
  <c r="K11" i="10" s="1"/>
  <c r="J10" i="10"/>
  <c r="G60" i="10"/>
  <c r="G59" i="10"/>
  <c r="G58" i="10" s="1"/>
  <c r="G36" i="10"/>
  <c r="G35" i="10"/>
  <c r="G16" i="10"/>
  <c r="G10" i="10"/>
  <c r="G9" i="10"/>
  <c r="G8" i="10"/>
  <c r="F41" i="10"/>
  <c r="E16" i="10"/>
  <c r="F16" i="10" s="1"/>
  <c r="E11" i="10"/>
  <c r="F11" i="10" s="1"/>
  <c r="E10" i="10"/>
  <c r="F10" i="10" s="1"/>
  <c r="E9" i="10"/>
  <c r="F9" i="10" s="1"/>
  <c r="E8" i="10"/>
  <c r="F8" i="10" s="1"/>
  <c r="AU55" i="18"/>
  <c r="AU54" i="18"/>
  <c r="AT55" i="18"/>
  <c r="AT54" i="18"/>
  <c r="AT12" i="4" s="1"/>
  <c r="AS55" i="18"/>
  <c r="AS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12" i="4"/>
  <c r="AU5" i="4"/>
  <c r="AT60" i="4"/>
  <c r="AT22" i="4"/>
  <c r="AT5" i="4"/>
  <c r="AS60" i="4"/>
  <c r="AS22" i="4"/>
  <c r="AS12" i="4"/>
  <c r="AS5" i="4"/>
  <c r="AC60" i="4"/>
  <c r="AC22" i="4"/>
  <c r="AC5" i="4"/>
  <c r="AB60" i="4"/>
  <c r="AB22" i="4"/>
  <c r="AB12" i="4"/>
  <c r="AA6" i="10" s="1"/>
  <c r="AB6" i="10" s="1"/>
  <c r="AB5" i="4"/>
  <c r="AA7" i="10" s="1"/>
  <c r="AB7" i="10" s="1"/>
  <c r="AA60" i="4"/>
  <c r="AA22" i="4"/>
  <c r="AA5" i="4"/>
  <c r="Z60" i="4"/>
  <c r="Z22" i="4"/>
  <c r="Z12" i="4"/>
  <c r="Z5" i="4"/>
  <c r="Y60" i="4"/>
  <c r="Y22" i="4"/>
  <c r="Y5" i="4"/>
  <c r="W15" i="10" s="1"/>
  <c r="X60" i="4"/>
  <c r="X22" i="4"/>
  <c r="X12" i="4"/>
  <c r="X5" i="4"/>
  <c r="W60" i="4"/>
  <c r="W22" i="4"/>
  <c r="W5" i="4"/>
  <c r="V60" i="4"/>
  <c r="V22" i="4"/>
  <c r="V12" i="4"/>
  <c r="S6" i="10" s="1"/>
  <c r="V5" i="4"/>
  <c r="S7" i="10" s="1"/>
  <c r="T7"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H60" i="4"/>
  <c r="H22" i="4"/>
  <c r="H12" i="4"/>
  <c r="H5" i="4"/>
  <c r="G60" i="4"/>
  <c r="G22" i="4"/>
  <c r="G5" i="4"/>
  <c r="F60" i="4"/>
  <c r="F22" i="4"/>
  <c r="F12" i="4"/>
  <c r="F5" i="4"/>
  <c r="E60" i="4"/>
  <c r="E22" i="4"/>
  <c r="E5" i="4"/>
  <c r="E7" i="10" s="1"/>
  <c r="F7" i="10" s="1"/>
  <c r="D60" i="4"/>
  <c r="D22" i="4"/>
  <c r="D12" i="4"/>
  <c r="D5" i="4"/>
  <c r="F6" i="10" l="1"/>
  <c r="I12" i="10"/>
  <c r="K6" i="10"/>
  <c r="J12" i="10"/>
  <c r="P6" i="10"/>
  <c r="X6" i="10"/>
  <c r="W38" i="10" s="1"/>
  <c r="G15" i="10"/>
  <c r="K15" i="10"/>
  <c r="K17" i="10" s="1"/>
  <c r="P15" i="10"/>
  <c r="P17" i="10" s="1"/>
  <c r="O17" i="10"/>
  <c r="X15" i="10"/>
  <c r="L15" i="10"/>
  <c r="T6" i="10"/>
  <c r="AB13" i="10"/>
  <c r="AA13" i="10"/>
  <c r="AB38" i="10"/>
  <c r="E15" i="10"/>
  <c r="J7" i="10"/>
  <c r="K7" i="10" s="1"/>
  <c r="O7" i="10"/>
  <c r="P7" i="10" s="1"/>
  <c r="S15" i="10"/>
  <c r="W7" i="10"/>
  <c r="X7" i="10" s="1"/>
  <c r="AA15" i="10"/>
  <c r="P38" i="10"/>
  <c r="G7" i="10"/>
  <c r="G20" i="10" s="1"/>
  <c r="X38" i="10" l="1"/>
  <c r="F15" i="10"/>
  <c r="F17" i="10" s="1"/>
  <c r="L32" i="10"/>
  <c r="L27" i="10"/>
  <c r="L23" i="10"/>
  <c r="L24" i="10"/>
  <c r="U13" i="10"/>
  <c r="U17" i="10"/>
  <c r="L20" i="10"/>
  <c r="P52" i="10"/>
  <c r="T15" i="10"/>
  <c r="AB42" i="10"/>
  <c r="AB53" i="10"/>
  <c r="H11" i="16" s="1"/>
  <c r="AB52" i="10"/>
  <c r="R17" i="10"/>
  <c r="R46" i="10" s="1"/>
  <c r="W17" i="10"/>
  <c r="W46" i="10" s="1"/>
  <c r="J17" i="10"/>
  <c r="G19" i="10"/>
  <c r="G22" i="10" s="1"/>
  <c r="V17" i="10"/>
  <c r="V46" i="10" s="1"/>
  <c r="H12" i="10"/>
  <c r="H17" i="10"/>
  <c r="X17" i="10"/>
  <c r="W13" i="10"/>
  <c r="O12" i="10"/>
  <c r="J38" i="10"/>
  <c r="C12" i="10"/>
  <c r="AA17" i="10"/>
  <c r="AA46" i="10" s="1"/>
  <c r="AB39" i="10" s="1"/>
  <c r="AB15" i="10"/>
  <c r="AB17" i="10" s="1"/>
  <c r="AB46" i="10" s="1"/>
  <c r="S13" i="10"/>
  <c r="L19" i="10"/>
  <c r="L22" i="10" s="1"/>
  <c r="G27" i="10"/>
  <c r="G23" i="10"/>
  <c r="G32" i="10"/>
  <c r="G24" i="10"/>
  <c r="V13" i="10"/>
  <c r="I17" i="10"/>
  <c r="I45" i="10" s="1"/>
  <c r="AB48" i="10" l="1"/>
  <c r="AB51" i="10" s="1"/>
  <c r="AB47" i="10"/>
  <c r="L21" i="10"/>
  <c r="L30" i="10"/>
  <c r="L31" i="10" s="1"/>
  <c r="L29" i="10" s="1"/>
  <c r="L33" i="10" s="1"/>
  <c r="L34" i="10" s="1"/>
  <c r="G21" i="10"/>
  <c r="G26" i="10" s="1"/>
  <c r="G25" i="10" s="1"/>
  <c r="G28" i="10" s="1"/>
  <c r="G30" i="10"/>
  <c r="G31" i="10" s="1"/>
  <c r="G29" i="10" s="1"/>
  <c r="G33" i="10" s="1"/>
  <c r="G34" i="10" s="1"/>
  <c r="X53" i="10"/>
  <c r="G11" i="16" s="1"/>
  <c r="X52" i="10"/>
  <c r="X46" i="10"/>
  <c r="X42" i="10"/>
  <c r="D17" i="10"/>
  <c r="D45" i="10" s="1"/>
  <c r="J45" i="10"/>
  <c r="K38" i="10"/>
  <c r="E12" i="10"/>
  <c r="E38" i="10"/>
  <c r="E17" i="10"/>
  <c r="P12" i="10"/>
  <c r="P45" i="10" s="1"/>
  <c r="O45" i="10"/>
  <c r="P39" i="10" s="1"/>
  <c r="P42" i="10" s="1"/>
  <c r="H45" i="10"/>
  <c r="K12" i="10"/>
  <c r="T17" i="10"/>
  <c r="Q13" i="10"/>
  <c r="Q17" i="10"/>
  <c r="R13" i="10"/>
  <c r="L26" i="10"/>
  <c r="L25" i="10" s="1"/>
  <c r="L28" i="10" s="1"/>
  <c r="D12" i="10"/>
  <c r="C17" i="10"/>
  <c r="S17" i="10"/>
  <c r="X13" i="10"/>
  <c r="U46" i="10"/>
  <c r="X39" i="10" s="1"/>
  <c r="S38" i="10"/>
  <c r="Q46" i="10" l="1"/>
  <c r="T13" i="10"/>
  <c r="E45" i="10"/>
  <c r="F38" i="10"/>
  <c r="P47" i="10"/>
  <c r="P48" i="10"/>
  <c r="P51" i="10" s="1"/>
  <c r="P53" i="10" s="1"/>
  <c r="E11" i="16" s="1"/>
  <c r="K53" i="10"/>
  <c r="D11" i="16" s="1"/>
  <c r="K39" i="10"/>
  <c r="K42" i="10"/>
  <c r="K52" i="10"/>
  <c r="K45" i="10"/>
  <c r="X47" i="10"/>
  <c r="X48" i="10"/>
  <c r="X51" i="10" s="1"/>
  <c r="S46" i="10"/>
  <c r="T38" i="10"/>
  <c r="F12" i="10"/>
  <c r="C45" i="10"/>
  <c r="F42" i="10" l="1"/>
  <c r="F53" i="10"/>
  <c r="C11" i="16" s="1"/>
  <c r="F39" i="10"/>
  <c r="F45" i="10"/>
  <c r="F52" i="10"/>
  <c r="T42" i="10"/>
  <c r="T53" i="10"/>
  <c r="F11" i="16" s="1"/>
  <c r="T39" i="10"/>
  <c r="T52" i="10"/>
  <c r="T46" i="10"/>
  <c r="K47" i="10"/>
  <c r="K48" i="10"/>
  <c r="K51" i="10" s="1"/>
  <c r="F47" i="10" l="1"/>
  <c r="F48" i="10"/>
  <c r="F51" i="10" s="1"/>
  <c r="T48" i="10"/>
  <c r="T51" i="10" s="1"/>
  <c r="T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<sst xmlns="http://schemas.openxmlformats.org/spreadsheetml/2006/main" count="570" uniqueCount="508">
  <si>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</si>
  <si>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</si>
  <si>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</si>
  <si>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</si>
  <si>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</si>
  <si>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</si>
  <si>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</si>
  <si>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</si>
  <si>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</si>
  <si>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</si>
  <si>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</si>
  <si>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</si>
  <si>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</si>
  <si>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</si>
  <si>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</si>
  <si>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</si>
  <si>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</si>
  <si>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</si>
  <si>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</si>
  <si>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</si>
  <si>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</si>
  <si>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</si>
  <si>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</si>
  <si>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</si>
  <si>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</si>
  <si>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</si>
  <si>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</si>
  <si>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</si>
  <si>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</si>
  <si>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</si>
  <si>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</si>
  <si>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</si>
  <si>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</si>
  <si>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</si>
  <si>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</si>
  <si>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</si>
  <si>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</si>
  <si>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</si>
  <si>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</si>
  <si>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</si>
  <si>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</si>
  <si>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</si>
  <si>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</si>
  <si>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</si>
  <si>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</si>
  <si>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</si>
  <si>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</si>
  <si>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</si>
  <si>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</si>
  <si>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</si>
  <si>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</si>
  <si>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</si>
  <si>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</si>
  <si>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</si>
  <si>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</si>
  <si>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</si>
  <si>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</si>
  <si>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</si>
  <si>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</si>
  <si>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</si>
  <si>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</si>
  <si>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</si>
  <si>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</si>
  <si>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</si>
  <si>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</si>
  <si>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</si>
  <si>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</si>
  <si>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</si>
  <si>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</si>
  <si>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</si>
  <si>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</si>
  <si>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</si>
  <si>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</si>
  <si>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</si>
  <si>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</si>
  <si>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</si>
  <si>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</si>
  <si>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</si>
  <si>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</si>
  <si>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</si>
  <si>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</si>
  <si>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</si>
  <si>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</si>
  <si>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</si>
  <si>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</si>
  <si>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</si>
  <si>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</si>
  <si>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</si>
  <si>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</si>
  <si>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</si>
  <si>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</si>
  <si>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</si>
  <si>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</si>
  <si>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</si>
  <si>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</si>
  <si>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</si>
  <si>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</si>
  <si>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</si>
  <si>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</si>
  <si>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</si>
  <si>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</si>
  <si>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</si>
  <si>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</si>
  <si>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</si>
  <si>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</si>
  <si>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</si>
  <si>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</si>
  <si>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</si>
  <si>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</si>
  <si>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</si>
  <si>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</si>
  <si>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</si>
  <si>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</si>
  <si>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</si>
  <si>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</si>
  <si>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</si>
  <si>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</si>
  <si>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</si>
  <si>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</si>
  <si>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</si>
  <si>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</si>
  <si>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</si>
  <si>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</si>
  <si>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</si>
  <si>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</si>
  <si>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</si>
  <si>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</si>
  <si>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</si>
  <si>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</si>
  <si>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</si>
  <si>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</si>
  <si>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</si>
  <si>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</si>
  <si>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</si>
  <si>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</si>
  <si>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</si>
  <si>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</si>
  <si>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</si>
  <si>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</si>
  <si>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</si>
  <si>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</si>
  <si>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</si>
  <si>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</si>
  <si>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</si>
  <si>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</si>
  <si>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</si>
  <si>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</si>
  <si>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</si>
  <si>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</si>
  <si>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</si>
  <si>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</si>
  <si>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</si>
  <si>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</si>
  <si>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</si>
  <si>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</si>
  <si>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</si>
  <si>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</si>
  <si>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</si>
  <si>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</si>
  <si>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</si>
  <si>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</si>
  <si>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</si>
  <si>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</si>
  <si>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</si>
  <si>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</si>
  <si>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</si>
  <si>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</si>
  <si>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</si>
  <si>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</si>
  <si>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</si>
  <si>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</si>
  <si>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</si>
  <si>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</si>
  <si>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</si>
  <si>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</si>
  <si>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</si>
  <si>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</si>
  <si>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</si>
  <si>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</si>
  <si>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</si>
  <si>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</si>
  <si>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</si>
  <si>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</si>
  <si>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</si>
  <si>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</si>
  <si>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</si>
  <si>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</si>
  <si>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</si>
  <si>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</si>
  <si>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</si>
  <si>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</si>
  <si>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</si>
  <si>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</si>
  <si>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</si>
  <si>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</si>
  <si>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</si>
  <si>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</si>
  <si>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</si>
  <si>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</si>
  <si>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</si>
  <si>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</si>
  <si>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</si>
  <si>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</si>
  <si>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</si>
  <si>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</si>
  <si>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</si>
  <si>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</si>
  <si>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</si>
  <si>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</si>
  <si>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</si>
  <si>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</si>
  <si>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</si>
  <si>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</si>
  <si>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</si>
  <si>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</si>
  <si>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</si>
  <si>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</si>
  <si>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</si>
  <si>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</si>
  <si>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</si>
  <si>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</si>
  <si>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</si>
  <si>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</si>
  <si>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</si>
  <si>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</si>
  <si>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</si>
  <si>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</si>
  <si>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</si>
  <si>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</si>
  <si>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</si>
  <si>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</si>
  <si>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</si>
  <si>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</si>
  <si>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</si>
  <si>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</si>
  <si>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</si>
  <si>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</si>
  <si>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</si>
  <si>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</si>
  <si>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</si>
  <si>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</si>
  <si>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</si>
  <si>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</si>
  <si>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</si>
  <si>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</si>
  <si>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</si>
  <si>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</si>
  <si>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</si>
  <si>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</si>
  <si>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</si>
  <si>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</si>
  <si>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</si>
  <si>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</si>
  <si>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</si>
  <si>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</si>
  <si>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</si>
  <si>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</si>
  <si>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</si>
  <si>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</si>
  <si>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</si>
  <si>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</si>
  <si>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</si>
  <si>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</si>
  <si>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</si>
  <si>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</si>
  <si>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</si>
  <si>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</si>
  <si>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</si>
  <si>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</si>
  <si>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</si>
  <si>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</si>
  <si>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</si>
  <si>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</si>
  <si>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</si>
  <si>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</si>
  <si>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</si>
  <si>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</si>
  <si>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</si>
  <si>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</si>
  <si>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</si>
  <si>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</si>
  <si>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</si>
  <si>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</si>
  <si>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</si>
  <si>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</si>
  <si>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</si>
  <si>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</si>
  <si>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</si>
  <si>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</si>
  <si>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</si>
  <si>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</si>
  <si>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</si>
  <si>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</si>
  <si>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</si>
  <si>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</si>
  <si>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</si>
  <si>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</si>
  <si>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</si>
  <si>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</si>
  <si>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</si>
  <si>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</si>
  <si>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</si>
  <si>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</si>
  <si>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</si>
  <si>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</si>
  <si>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</si>
  <si>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</si>
  <si>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</si>
  <si>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</si>
  <si>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</si>
  <si>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</si>
  <si>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</si>
  <si>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</si>
  <si>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</si>
  <si>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</si>
  <si>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</si>
  <si>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</si>
  <si>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</si>
  <si>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</si>
  <si>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</si>
  <si>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</si>
  <si>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</si>
  <si>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</si>
  <si>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</si>
  <si>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</si>
  <si>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</si>
  <si>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</si>
  <si>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</si>
  <si>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</si>
  <si>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</si>
  <si>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</si>
  <si>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</si>
  <si>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</si>
  <si>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</si>
  <si>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</si>
  <si>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</si>
  <si>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</si>
  <si>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</si>
  <si>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</si>
  <si>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</si>
  <si>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</si>
  <si>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</si>
  <si>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</si>
  <si>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</si>
  <si>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</si>
  <si>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</si>
  <si>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</si>
  <si>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</si>
  <si>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</si>
  <si>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</si>
  <si>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</si>
  <si>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</si>
  <si>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</si>
  <si>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</si>
  <si>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</si>
  <si>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</si>
  <si>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</si>
  <si>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</si>
  <si>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</si>
  <si>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</si>
  <si>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</si>
  <si>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</si>
  <si>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</si>
  <si>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</si>
  <si>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</si>
  <si>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</si>
  <si>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</si>
  <si>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</si>
  <si>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</si>
  <si>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</si>
  <si>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</si>
  <si>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</si>
  <si>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</si>
  <si>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</si>
  <si>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</si>
  <si>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</si>
  <si>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</si>
  <si>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</si>
  <si>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</si>
  <si>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</si>
  <si>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</si>
  <si>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</si>
  <si>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</si>
  <si>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</si>
  <si>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</si>
  <si>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</si>
  <si>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</si>
  <si>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</si>
  <si>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</si>
  <si>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</si>
  <si>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</si>
  <si>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</si>
  <si>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</si>
  <si>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</si>
  <si>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</si>
  <si>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</si>
  <si>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</si>
  <si>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</si>
  <si>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</si>
  <si>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</si>
  <si>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</si>
  <si>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</si>
  <si>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</si>
  <si>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</si>
  <si>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</si>
  <si>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</si>
  <si>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</si>
  <si>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</si>
  <si>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</si>
  <si>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</si>
  <si>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</si>
  <si>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</si>
  <si>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</si>
  <si>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</si>
  <si>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</si>
  <si>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</si>
  <si>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</si>
  <si>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</si>
  <si>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</si>
  <si>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</si>
  <si>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</si>
  <si>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</si>
  <si>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</si>
  <si>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</si>
  <si>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</si>
  <si>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</si>
  <si>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</si>
  <si>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</si>
  <si>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</si>
  <si>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</si>
  <si>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</si>
  <si>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</si>
  <si>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</si>
  <si>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</si>
  <si>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</si>
  <si>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</si>
  <si>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</si>
  <si>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</si>
  <si>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</si>
  <si>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</si>
  <si>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</si>
  <si>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</si>
  <si>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</si>
  <si>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</si>
  <si>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</si>
  <si>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</si>
  <si>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</si>
  <si>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</si>
  <si>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</si>
  <si>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</si>
  <si>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</si>
  <si>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</si>
  <si>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</si>
  <si>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</si>
  <si>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</si>
  <si>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</si>
  <si>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</si>
  <si>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</si>
  <si>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</si>
  <si>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</si>
  <si>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</si>
  <si>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</si>
  <si>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</si>
  <si>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</si>
  <si>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</si>
  <si>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</si>
  <si>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</si>
  <si>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</si>
  <si>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</si>
  <si>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</si>
  <si>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</si>
  <si>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</si>
  <si>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</si>
  <si>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</si>
  <si>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</si>
  <si>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</si>
  <si>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</si>
  <si>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</si>
  <si>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</si>
  <si>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</si>
  <si>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</si>
  <si>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</si>
  <si>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</si>
  <si>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</si>
  <si>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</si>
  <si>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</si>
  <si>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</si>
  <si>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</si>
  <si>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</si>
  <si>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</si>
  <si>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</si>
  <si>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</si>
  <si>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</si>
  <si>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</si>
  <si>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</si>
  <si>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</si>
  <si>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 and Life Insurance Company</t>
  </si>
  <si>
    <t>Cigna Hlth Grp</t>
  </si>
  <si>
    <t>N/A</t>
  </si>
  <si>
    <t>00901</t>
  </si>
  <si>
    <t>2015</t>
  </si>
  <si>
    <t>900 Cottage Grove Road Bloomfield, CT 06002</t>
  </si>
  <si>
    <t>591031071</t>
  </si>
  <si>
    <t>067369</t>
  </si>
  <si>
    <t>67369</t>
  </si>
  <si>
    <t>30627</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</si>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</sst>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171</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51939349</v>
      </c>
      <c r="Q5" s="219">
        <f>SUM('Pt 2 Premium and Claims'!Q$5,'Pt 2 Premium and Claims'!Q$6,-'Pt 2 Premium and Claims'!Q$7,-'Pt 2 Premium and Claims'!Q$13,'Pt 2 Premium and Claims'!Q$14)</f>
        <v>52072511</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18642268</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1467</v>
      </c>
      <c r="Q7" s="223">
        <v>1467</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527</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129253</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-82542</v>
      </c>
      <c r="K12" s="219">
        <f>'Pt 2 Premium and Claims'!K$54</f>
        <v>-11979</v>
      </c>
      <c r="L12" s="219">
        <f>'Pt 2 Premium and Claims'!L$54</f>
        <v>0</v>
      </c>
      <c r="M12" s="219">
        <f>'Pt 2 Premium and Claims'!M$54</f>
        <v>0</v>
      </c>
      <c r="N12" s="219">
        <f>'Pt 2 Premium and Claims'!N$54</f>
        <v>0</v>
      </c>
      <c r="O12" s="218">
        <f>'Pt 2 Premium and Claims'!O$54</f>
        <v>0</v>
      </c>
      <c r="P12" s="218">
        <f>'Pt 2 Premium and Claims'!P$54</f>
        <v>41202635</v>
      </c>
      <c r="Q12" s="219">
        <f>'Pt 2 Premium and Claims'!Q$54</f>
        <v>40401076</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12922883</v>
      </c>
      <c r="AU12" s="220">
        <f>'Pt 2 Premium and Claims'!AU$54</f>
        <v>0</v>
      </c>
      <c r="AV12" s="297"/>
      <c r="AW12" s="302"/>
    </row>
    <row r="13" spans="1:49" ht="25.5" x14ac:dyDescent="0.2">
      <c r="B13" s="245" t="s">
        <v>230</v>
      </c>
      <c r="C13" s="209" t="s">
        <v>37</v>
      </c>
      <c r="D13" s="222">
        <v>0</v>
      </c>
      <c r="E13" s="223">
        <v>0</v>
      </c>
      <c r="F13" s="223"/>
      <c r="G13" s="274"/>
      <c r="H13" s="275"/>
      <c r="I13" s="222">
        <v>0</v>
      </c>
      <c r="J13" s="222">
        <v>426</v>
      </c>
      <c r="K13" s="223">
        <v>0</v>
      </c>
      <c r="L13" s="223"/>
      <c r="M13" s="274"/>
      <c r="N13" s="275"/>
      <c r="O13" s="222"/>
      <c r="P13" s="222">
        <v>8893328</v>
      </c>
      <c r="Q13" s="223">
        <v>8832774</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538</v>
      </c>
      <c r="K14" s="223">
        <v>10378</v>
      </c>
      <c r="L14" s="223"/>
      <c r="M14" s="273"/>
      <c r="N14" s="276"/>
      <c r="O14" s="222"/>
      <c r="P14" s="222">
        <v>1289840</v>
      </c>
      <c r="Q14" s="223">
        <v>2639555</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154741</v>
      </c>
      <c r="AU14" s="226">
        <v>0</v>
      </c>
      <c r="AV14" s="296"/>
      <c r="AW14" s="303"/>
    </row>
    <row r="15" spans="1:49" ht="38.25" x14ac:dyDescent="0.2">
      <c r="B15" s="245" t="s">
        <v>232</v>
      </c>
      <c r="C15" s="209" t="s">
        <v>7</v>
      </c>
      <c r="D15" s="222">
        <v>0</v>
      </c>
      <c r="E15" s="223">
        <v>0</v>
      </c>
      <c r="F15" s="223"/>
      <c r="G15" s="273"/>
      <c r="H15" s="279"/>
      <c r="I15" s="222">
        <v>0</v>
      </c>
      <c r="J15" s="222">
        <v>-7</v>
      </c>
      <c r="K15" s="223">
        <v>0</v>
      </c>
      <c r="L15" s="223"/>
      <c r="M15" s="273"/>
      <c r="N15" s="279"/>
      <c r="O15" s="222"/>
      <c r="P15" s="222">
        <v>142653</v>
      </c>
      <c r="Q15" s="223">
        <v>133231</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-197</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26097</v>
      </c>
      <c r="K25" s="223">
        <v>26097</v>
      </c>
      <c r="L25" s="223"/>
      <c r="M25" s="223"/>
      <c r="N25" s="223"/>
      <c r="O25" s="222"/>
      <c r="P25" s="222">
        <v>1953727</v>
      </c>
      <c r="Q25" s="223">
        <v>1953727</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1353066</v>
      </c>
      <c r="AU25" s="226">
        <v>0</v>
      </c>
      <c r="AV25" s="226">
        <v>6839520</v>
      </c>
      <c r="AW25" s="303"/>
    </row>
    <row r="26" spans="1:49" s="11" customFormat="1" x14ac:dyDescent="0.2">
      <c r="A26" s="41"/>
      <c r="B26" s="248" t="s">
        <v>242</v>
      </c>
      <c r="C26" s="209"/>
      <c r="D26" s="222">
        <v>0</v>
      </c>
      <c r="E26" s="223">
        <v>0</v>
      </c>
      <c r="F26" s="223"/>
      <c r="G26" s="223"/>
      <c r="H26" s="223"/>
      <c r="I26" s="222">
        <v>0</v>
      </c>
      <c r="J26" s="222">
        <v>7</v>
      </c>
      <c r="K26" s="223">
        <v>7</v>
      </c>
      <c r="L26" s="223"/>
      <c r="M26" s="223"/>
      <c r="N26" s="223"/>
      <c r="O26" s="222"/>
      <c r="P26" s="222">
        <v>22549</v>
      </c>
      <c r="Q26" s="223">
        <v>22549</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873489</v>
      </c>
      <c r="Q27" s="223">
        <v>873489</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51500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122061</v>
      </c>
      <c r="Q28" s="223">
        <v>122061</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26442</v>
      </c>
      <c r="AU28" s="226">
        <v>0</v>
      </c>
      <c r="AV28" s="226">
        <v>485579</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1450</v>
      </c>
      <c r="K30" s="223">
        <v>1450</v>
      </c>
      <c r="L30" s="223"/>
      <c r="M30" s="223"/>
      <c r="N30" s="223"/>
      <c r="O30" s="222"/>
      <c r="P30" s="222">
        <v>267187</v>
      </c>
      <c r="Q30" s="223">
        <v>267187</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133147</v>
      </c>
      <c r="AU30" s="226">
        <v>0</v>
      </c>
      <c r="AV30" s="226">
        <v>392865</v>
      </c>
      <c r="AW30" s="303"/>
    </row>
    <row r="31" spans="1:49" x14ac:dyDescent="0.2">
      <c r="B31" s="248" t="s">
        <v>247</v>
      </c>
      <c r="C31" s="209"/>
      <c r="D31" s="222">
        <v>0</v>
      </c>
      <c r="E31" s="223">
        <v>0</v>
      </c>
      <c r="F31" s="223"/>
      <c r="G31" s="223"/>
      <c r="H31" s="223"/>
      <c r="I31" s="222">
        <v>0</v>
      </c>
      <c r="J31" s="222">
        <v>0</v>
      </c>
      <c r="K31" s="223">
        <v>0</v>
      </c>
      <c r="L31" s="223"/>
      <c r="M31" s="223"/>
      <c r="N31" s="223"/>
      <c r="O31" s="222"/>
      <c r="P31" s="222">
        <v>892415</v>
      </c>
      <c r="Q31" s="223">
        <v>892415</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320533</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416838</v>
      </c>
      <c r="Q34" s="223">
        <v>416838</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-4483</v>
      </c>
      <c r="Q35" s="223">
        <v>-4483</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6585</v>
      </c>
      <c r="AU35" s="226">
        <v>0</v>
      </c>
      <c r="AV35" s="226">
        <v>-11811</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50</v>
      </c>
      <c r="K37" s="231">
        <v>52</v>
      </c>
      <c r="L37" s="231"/>
      <c r="M37" s="231"/>
      <c r="N37" s="231"/>
      <c r="O37" s="230"/>
      <c r="P37" s="230">
        <v>53497</v>
      </c>
      <c r="Q37" s="231">
        <v>53558</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167</v>
      </c>
      <c r="AU37" s="232">
        <v>0</v>
      </c>
      <c r="AV37" s="232">
        <v>509587</v>
      </c>
      <c r="AW37" s="302"/>
    </row>
    <row r="38" spans="1:49" x14ac:dyDescent="0.2">
      <c r="B38" s="245" t="s">
        <v>254</v>
      </c>
      <c r="C38" s="209" t="s">
        <v>16</v>
      </c>
      <c r="D38" s="222">
        <v>0</v>
      </c>
      <c r="E38" s="223">
        <v>0</v>
      </c>
      <c r="F38" s="223"/>
      <c r="G38" s="223"/>
      <c r="H38" s="223"/>
      <c r="I38" s="222">
        <v>0</v>
      </c>
      <c r="J38" s="222">
        <v>49</v>
      </c>
      <c r="K38" s="223">
        <v>52</v>
      </c>
      <c r="L38" s="223"/>
      <c r="M38" s="223"/>
      <c r="N38" s="223"/>
      <c r="O38" s="222"/>
      <c r="P38" s="222">
        <v>18175</v>
      </c>
      <c r="Q38" s="223">
        <v>18315</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72881</v>
      </c>
      <c r="AW38" s="303"/>
    </row>
    <row r="39" spans="1:49" x14ac:dyDescent="0.2">
      <c r="B39" s="248" t="s">
        <v>255</v>
      </c>
      <c r="C39" s="209" t="s">
        <v>17</v>
      </c>
      <c r="D39" s="222">
        <v>0</v>
      </c>
      <c r="E39" s="223">
        <v>0</v>
      </c>
      <c r="F39" s="223"/>
      <c r="G39" s="223"/>
      <c r="H39" s="223"/>
      <c r="I39" s="222">
        <v>0</v>
      </c>
      <c r="J39" s="222">
        <v>72</v>
      </c>
      <c r="K39" s="223">
        <v>52</v>
      </c>
      <c r="L39" s="223"/>
      <c r="M39" s="223"/>
      <c r="N39" s="223"/>
      <c r="O39" s="222"/>
      <c r="P39" s="222">
        <v>37592</v>
      </c>
      <c r="Q39" s="223">
        <v>36791</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131</v>
      </c>
      <c r="AU39" s="226">
        <v>0</v>
      </c>
      <c r="AV39" s="226">
        <v>12397</v>
      </c>
      <c r="AW39" s="303"/>
    </row>
    <row r="40" spans="1:49" x14ac:dyDescent="0.2">
      <c r="B40" s="248" t="s">
        <v>256</v>
      </c>
      <c r="C40" s="209" t="s">
        <v>38</v>
      </c>
      <c r="D40" s="222">
        <v>0</v>
      </c>
      <c r="E40" s="223">
        <v>0</v>
      </c>
      <c r="F40" s="223"/>
      <c r="G40" s="223"/>
      <c r="H40" s="223"/>
      <c r="I40" s="222">
        <v>0</v>
      </c>
      <c r="J40" s="222">
        <v>49</v>
      </c>
      <c r="K40" s="223">
        <v>52</v>
      </c>
      <c r="L40" s="223"/>
      <c r="M40" s="223"/>
      <c r="N40" s="223"/>
      <c r="O40" s="222"/>
      <c r="P40" s="222">
        <v>11909</v>
      </c>
      <c r="Q40" s="223">
        <v>12021</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485</v>
      </c>
      <c r="AU40" s="226">
        <v>0</v>
      </c>
      <c r="AV40" s="226">
        <v>79833</v>
      </c>
      <c r="AW40" s="303"/>
    </row>
    <row r="41" spans="1:49" s="11" customFormat="1" ht="25.5" x14ac:dyDescent="0.2">
      <c r="A41" s="41"/>
      <c r="B41" s="248" t="s">
        <v>257</v>
      </c>
      <c r="C41" s="209" t="s">
        <v>129</v>
      </c>
      <c r="D41" s="222">
        <v>0</v>
      </c>
      <c r="E41" s="223">
        <v>0</v>
      </c>
      <c r="F41" s="223"/>
      <c r="G41" s="223"/>
      <c r="H41" s="223"/>
      <c r="I41" s="222">
        <v>0</v>
      </c>
      <c r="J41" s="222">
        <v>49</v>
      </c>
      <c r="K41" s="223">
        <v>52</v>
      </c>
      <c r="L41" s="223"/>
      <c r="M41" s="223"/>
      <c r="N41" s="223"/>
      <c r="O41" s="222"/>
      <c r="P41" s="222">
        <v>27908</v>
      </c>
      <c r="Q41" s="223">
        <v>28050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2599</v>
      </c>
      <c r="AU41" s="226">
        <v>0</v>
      </c>
      <c r="AV41" s="226">
        <v>226370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1871</v>
      </c>
      <c r="Q42" s="223">
        <v>1871</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9237</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658</v>
      </c>
      <c r="K44" s="231">
        <v>0</v>
      </c>
      <c r="L44" s="231"/>
      <c r="M44" s="231"/>
      <c r="N44" s="231"/>
      <c r="O44" s="230"/>
      <c r="P44" s="230">
        <v>870679</v>
      </c>
      <c r="Q44" s="231">
        <v>865025</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19019</v>
      </c>
      <c r="AU44" s="232">
        <v>0</v>
      </c>
      <c r="AV44" s="232">
        <v>2533786</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8899</v>
      </c>
      <c r="Q45" s="223">
        <v>8899</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1004</v>
      </c>
      <c r="AU45" s="226">
        <v>0</v>
      </c>
      <c r="AV45" s="226">
        <v>-2200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258854</v>
      </c>
      <c r="Q46" s="223">
        <v>258854</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80471</v>
      </c>
      <c r="AU46" s="226">
        <v>0</v>
      </c>
      <c r="AV46" s="226">
        <v>811657</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1155459</v>
      </c>
      <c r="Q47" s="223">
        <v>1155459</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416131</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12155</v>
      </c>
      <c r="Q49" s="223">
        <v>12155</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-91</v>
      </c>
      <c r="AU49" s="226">
        <v>0</v>
      </c>
      <c r="AV49" s="226">
        <v>33040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37128</v>
      </c>
      <c r="Q50" s="223">
        <v>37128</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8640</v>
      </c>
      <c r="AU50" s="226">
        <v>0</v>
      </c>
      <c r="AV50" s="226">
        <v>84102</v>
      </c>
      <c r="AW50" s="303"/>
    </row>
    <row r="51" spans="2:49" x14ac:dyDescent="0.2">
      <c r="B51" s="245" t="s">
        <v>266</v>
      </c>
      <c r="C51" s="209"/>
      <c r="D51" s="222">
        <v>0</v>
      </c>
      <c r="E51" s="223">
        <v>0</v>
      </c>
      <c r="F51" s="223"/>
      <c r="G51" s="223"/>
      <c r="H51" s="223"/>
      <c r="I51" s="222">
        <v>0</v>
      </c>
      <c r="J51" s="222">
        <v>0</v>
      </c>
      <c r="K51" s="223">
        <v>0</v>
      </c>
      <c r="L51" s="223"/>
      <c r="M51" s="223"/>
      <c r="N51" s="223"/>
      <c r="O51" s="222"/>
      <c r="P51" s="222">
        <v>607054</v>
      </c>
      <c r="Q51" s="223">
        <v>607054</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674780</v>
      </c>
      <c r="AU51" s="226">
        <v>0</v>
      </c>
      <c r="AV51" s="226">
        <v>13108738</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2939</v>
      </c>
      <c r="Q53" s="223">
        <v>2939</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1339</v>
      </c>
      <c r="AU53" s="226">
        <v>0</v>
      </c>
      <c r="AV53" s="226">
        <v>27211</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39354958</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4094</v>
      </c>
      <c r="Q56" s="235">
        <v>4094</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5058</v>
      </c>
      <c r="AU56" s="236">
        <v>0</v>
      </c>
      <c r="AV56" s="236">
        <v>66254</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8580</v>
      </c>
      <c r="Q57" s="238">
        <v>8580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10867</v>
      </c>
      <c r="AU57" s="239">
        <v>0</v>
      </c>
      <c r="AV57" s="239">
        <v>145009</v>
      </c>
      <c r="AW57" s="295"/>
    </row>
    <row r="58" spans="2:49" x14ac:dyDescent="0.2">
      <c r="B58" s="251" t="s">
        <v>273</v>
      </c>
      <c r="C58" s="209" t="s">
        <v>26</v>
      </c>
      <c r="D58" s="315"/>
      <c r="E58" s="316"/>
      <c r="F58" s="316"/>
      <c r="G58" s="316"/>
      <c r="H58" s="316"/>
      <c r="I58" s="315"/>
      <c r="J58" s="237">
        <v>0</v>
      </c>
      <c r="K58" s="238">
        <v>0</v>
      </c>
      <c r="L58" s="238"/>
      <c r="M58" s="238"/>
      <c r="N58" s="238"/>
      <c r="O58" s="237"/>
      <c r="P58" s="237">
        <v>19</v>
      </c>
      <c r="Q58" s="238">
        <v>19</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19</v>
      </c>
      <c r="AU58" s="239">
        <v>0</v>
      </c>
      <c r="AV58" s="239">
        <v>63</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103655</v>
      </c>
      <c r="Q59" s="238">
        <v>103655</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129909</v>
      </c>
      <c r="AU59" s="239">
        <v>0</v>
      </c>
      <c r="AV59" s="239">
        <v>1744039</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8637.9166666666661</v>
      </c>
      <c r="Q60" s="241">
        <f>Q$59/12</f>
        <v>8637.9166666666661</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10825.75</v>
      </c>
      <c r="AU60" s="242">
        <f>AU$59/12</f>
        <v>0</v>
      </c>
      <c r="AV60" s="242">
        <f>AV$59/12</f>
        <v>145336.58333333334</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1566180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514813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-2695</v>
      </c>
      <c r="E5" s="332">
        <v>-2695</v>
      </c>
      <c r="F5" s="332"/>
      <c r="G5" s="334"/>
      <c r="H5" s="334"/>
      <c r="I5" s="331">
        <v>0</v>
      </c>
      <c r="J5" s="331">
        <v>5165</v>
      </c>
      <c r="K5" s="332">
        <v>-4835</v>
      </c>
      <c r="L5" s="332"/>
      <c r="M5" s="332"/>
      <c r="N5" s="332"/>
      <c r="O5" s="331"/>
      <c r="P5" s="331">
        <v>51591954</v>
      </c>
      <c r="Q5" s="332">
        <v>51723120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18712994</v>
      </c>
      <c r="AU5" s="333">
        <v>0</v>
      </c>
      <c r="AV5" s="375"/>
      <c r="AW5" s="379"/>
    </row>
    <row r="6" spans="2:49" x14ac:dyDescent="0.2">
      <c r="B6" s="349" t="s">
        <v>278</v>
      </c>
      <c r="C6" s="337" t="s">
        <v>8</v>
      </c>
      <c r="D6" s="324">
        <v>2695</v>
      </c>
      <c r="E6" s="325">
        <v>2695</v>
      </c>
      <c r="F6" s="325"/>
      <c r="G6" s="326"/>
      <c r="H6" s="326"/>
      <c r="I6" s="324">
        <v>0</v>
      </c>
      <c r="J6" s="324">
        <v>4835</v>
      </c>
      <c r="K6" s="325">
        <v>4835</v>
      </c>
      <c r="L6" s="325"/>
      <c r="M6" s="325"/>
      <c r="N6" s="325"/>
      <c r="O6" s="324"/>
      <c r="P6" s="324">
        <v>362535</v>
      </c>
      <c r="Q6" s="325">
        <v>362535</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61667</v>
      </c>
      <c r="AU6" s="327">
        <v>0</v>
      </c>
      <c r="AV6" s="374"/>
      <c r="AW6" s="380"/>
    </row>
    <row r="7" spans="2:49" x14ac:dyDescent="0.2">
      <c r="B7" s="349" t="s">
        <v>279</v>
      </c>
      <c r="C7" s="337" t="s">
        <v>9</v>
      </c>
      <c r="D7" s="324">
        <v>0</v>
      </c>
      <c r="E7" s="325"/>
      <c r="F7" s="325"/>
      <c r="G7" s="326"/>
      <c r="H7" s="326"/>
      <c r="I7" s="324"/>
      <c r="J7" s="324">
        <v>10000</v>
      </c>
      <c r="K7" s="325"/>
      <c r="L7" s="325"/>
      <c r="M7" s="325"/>
      <c r="N7" s="325"/>
      <c r="O7" s="324"/>
      <c r="P7" s="324">
        <v>34364</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131907</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70984</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59</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70984</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2957521</v>
      </c>
      <c r="Q11" s="325">
        <v>-1758963</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5955</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4186087</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5346</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-19224</v>
      </c>
      <c r="Q13" s="325">
        <v>13144</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486</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13242</v>
      </c>
      <c r="K23" s="368"/>
      <c r="L23" s="368"/>
      <c r="M23" s="368"/>
      <c r="N23" s="368"/>
      <c r="O23" s="370"/>
      <c r="P23" s="324">
        <v>42611448</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12373785</v>
      </c>
      <c r="AU23" s="327">
        <v>0</v>
      </c>
      <c r="AV23" s="374"/>
      <c r="AW23" s="380"/>
    </row>
    <row r="24" spans="2:49" ht="28.5" customHeight="1" x14ac:dyDescent="0.2">
      <c r="B24" s="351" t="s">
        <v>114</v>
      </c>
      <c r="C24" s="337"/>
      <c r="D24" s="371"/>
      <c r="E24" s="325">
        <v>0</v>
      </c>
      <c r="F24" s="325"/>
      <c r="G24" s="325"/>
      <c r="H24" s="325"/>
      <c r="I24" s="324">
        <v>0</v>
      </c>
      <c r="J24" s="371"/>
      <c r="K24" s="325">
        <v>-11184</v>
      </c>
      <c r="L24" s="325"/>
      <c r="M24" s="325"/>
      <c r="N24" s="325"/>
      <c r="O24" s="324"/>
      <c r="P24" s="371"/>
      <c r="Q24" s="325">
        <v>40043555</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5784609</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2395651</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2026875</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101317</v>
      </c>
      <c r="K28" s="369"/>
      <c r="L28" s="369"/>
      <c r="M28" s="369"/>
      <c r="N28" s="369"/>
      <c r="O28" s="371"/>
      <c r="P28" s="324">
        <v>6292254</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1847222</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37698</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37698</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876</v>
      </c>
      <c r="K36" s="325">
        <v>876</v>
      </c>
      <c r="L36" s="325"/>
      <c r="M36" s="325"/>
      <c r="N36" s="325"/>
      <c r="O36" s="324"/>
      <c r="P36" s="324">
        <v>45307</v>
      </c>
      <c r="Q36" s="325">
        <v>45307</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70984</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59</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70984</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2957521</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5955</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-1758963</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4186087</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5346</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83</v>
      </c>
      <c r="K45" s="325">
        <v>83</v>
      </c>
      <c r="L45" s="325"/>
      <c r="M45" s="325"/>
      <c r="N45" s="325"/>
      <c r="O45" s="324"/>
      <c r="P45" s="324">
        <v>28671</v>
      </c>
      <c r="Q45" s="325">
        <v>26518</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1</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2452</v>
      </c>
      <c r="K49" s="325">
        <v>2</v>
      </c>
      <c r="L49" s="325"/>
      <c r="M49" s="325"/>
      <c r="N49" s="325"/>
      <c r="O49" s="324"/>
      <c r="P49" s="324">
        <v>820634</v>
      </c>
      <c r="Q49" s="325">
        <v>284</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8778</v>
      </c>
      <c r="K50" s="369"/>
      <c r="L50" s="369"/>
      <c r="M50" s="369"/>
      <c r="N50" s="369"/>
      <c r="O50" s="371"/>
      <c r="P50" s="324">
        <v>1055986</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-82542</v>
      </c>
      <c r="K54" s="329">
        <f>K24+K27+K31+K35-K36+K39+K42+K45+K46-K49+K51+K52+K53</f>
        <v>-11979</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41202635</v>
      </c>
      <c r="Q54" s="329">
        <f>Q24+Q27+Q31+Q35-Q36+Q39+Q42+Q45+Q46-Q49+Q51+Q52+Q53</f>
        <v>40401076</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12922883</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1510390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5043</v>
      </c>
      <c r="D6" s="404">
        <v>-740</v>
      </c>
      <c r="E6" s="406">
        <f>SUM('Pt 1 Summary of Data'!E$12,'Pt 1 Summary of Data'!E$22)+SUM('Pt 1 Summary of Data'!G$12,'Pt 1 Summary of Data'!G$22)-SUM('Pt 1 Summary of Data'!H$12,'Pt 1 Summary of Data'!H$22)</f>
        <v>0</v>
      </c>
      <c r="F6" s="406">
        <f>SUM(C6:E6)</f>
        <v>4303</v>
      </c>
      <c r="G6" s="407">
        <f>SUM('Pt 1 Summary of Data'!I$12,'Pt 1 Summary of Data'!I$22)</f>
        <v>0</v>
      </c>
      <c r="H6" s="403">
        <v>845024</v>
      </c>
      <c r="I6" s="404">
        <v>593127</v>
      </c>
      <c r="J6" s="406">
        <f>SUM('Pt 1 Summary of Data'!K$12,'Pt 1 Summary of Data'!K$22)+SUM('Pt 1 Summary of Data'!M$12,'Pt 1 Summary of Data'!M$22)-SUM('Pt 1 Summary of Data'!N$12,'Pt 1 Summary of Data'!N$22)</f>
        <v>-11979</v>
      </c>
      <c r="K6" s="406">
        <f>SUM(H6:J6)</f>
        <v>1426172</v>
      </c>
      <c r="L6" s="407">
        <f>SUM('Pt 1 Summary of Data'!O$12,'Pt 1 Summary of Data'!O$22)</f>
        <v>0</v>
      </c>
      <c r="M6" s="403">
        <v>8823941</v>
      </c>
      <c r="N6" s="404">
        <v>57026187</v>
      </c>
      <c r="O6" s="406">
        <f>SUM('Pt 1 Summary of Data'!Q$12,'Pt 1 Summary of Data'!Q$22)+SUM('Pt 1 Summary of Data'!S$12,'Pt 1 Summary of Data'!S$22)-SUM('Pt 1 Summary of Data'!T$12,'Pt 1 Summary of Data'!T$22)</f>
        <v>40401076</v>
      </c>
      <c r="P6" s="406">
        <f>SUM(M6:O6)</f>
        <v>106251204</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20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20</v>
      </c>
      <c r="G7" s="407">
        <f>SUM('Pt 1 Summary of Data'!I$37:I$41)+MAX(0,MIN(VALUE('Pt 1 Summary of Data'!I$42),0.3%*('Pt 1 Summary of Data'!I$5-SUM(G$9:G$10))))</f>
        <v>0</v>
      </c>
      <c r="H7" s="403">
        <v>3404</v>
      </c>
      <c r="I7" s="404">
        <v>1596</v>
      </c>
      <c r="J7" s="406">
        <f>SUM('Pt 1 Summary of Data'!K$37:K$41)+SUM('Pt 1 Summary of Data'!M$37:M$41)-SUM('Pt 1 Summary of Data'!N$37:N$41)+MAX(0,MIN('Pt 1 Summary of Data'!K$42+'Pt 1 Summary of Data'!M$42-'Pt 1 Summary of Data'!N$42,0.3%*('Pt 1 Summary of Data'!K$5+'Pt 1 Summary of Data'!M$5-'Pt 1 Summary of Data'!N$5-SUM(J$10:J$11))))</f>
        <v>260</v>
      </c>
      <c r="K7" s="406">
        <f>SUM(H7:J7)</f>
        <v>5260</v>
      </c>
      <c r="L7" s="407">
        <f>SUM('Pt 1 Summary of Data'!O$37:O$41)+MAX(0,MIN(VALUE('Pt 1 Summary of Data'!O$42),0.3%*('Pt 1 Summary of Data'!O$5-L$10)))</f>
        <v>0</v>
      </c>
      <c r="M7" s="403">
        <v>53435</v>
      </c>
      <c r="N7" s="404">
        <v>153665</v>
      </c>
      <c r="O7" s="406">
        <f>SUM('Pt 1 Summary of Data'!Q$37:Q$41)+SUM('Pt 1 Summary of Data'!S$37:S$41)-SUM('Pt 1 Summary of Data'!T$37:T$41)+MAX(0,MIN('Pt 1 Summary of Data'!Q$42+'Pt 1 Summary of Data'!S$42-'Pt 1 Summary of Data'!T$42,0.3%*('Pt 1 Summary of Data'!Q$5+'Pt 1 Summary of Data'!S$5-'Pt 1 Summary of Data'!T$5)))</f>
        <v>150606</v>
      </c>
      <c r="P7" s="406">
        <f>SUM(M7:O7)</f>
        <v>357706</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5063</v>
      </c>
      <c r="D12" s="406">
        <f>SUM(D$6:D$7) - SUM(D$8:D$11)+IF(AND(OR('Company Information'!$C$12="District of Columbia",'Company Information'!$C$12="Massachusetts",'Company Information'!$C$12="Vermont"),SUM($C$6:$F$11,$C$15:$F$16,$C$38:$D$38)&lt;&gt;0),SUM(I$6:I$7) - SUM(I$10:I$11),0)</f>
        <v>-740</v>
      </c>
      <c r="E12" s="406">
        <f>SUM(E$6:E$7)-SUM(E$8:E$11)+IF(AND(OR('Company Information'!$C$12="District of Columbia",'Company Information'!$C$12="Massachusetts",'Company Information'!$C$12="Vermont"),SUM($C$6:$F$11,$C$15:$F$16,$C$38:$D$38)&lt;&gt;0),SUM(J$6:J$7)-SUM(J$10:J$11),0)</f>
        <v>0</v>
      </c>
      <c r="F12" s="406">
        <f>IFERROR(SUM(C$12:E$12)+C$17*MAX(0,E$50-C$50)+D$17*MAX(0,E$50-D$50),0)</f>
        <v>4323</v>
      </c>
      <c r="G12" s="453"/>
      <c r="H12" s="405">
        <f>SUM(H$6:H$7)+IF(AND(OR('Company Information'!$C$12="District of Columbia",'Company Information'!$C$12="Massachusetts",'Company Information'!$C$12="Vermont"),SUM($H$6:$K$11,$H$15:$K$16,$H$38:$I$38)&lt;&gt;0),SUM(C$6:C$7),0)</f>
        <v>848428</v>
      </c>
      <c r="I12" s="406">
        <f>SUM(I$6:I$7) - SUM(I$10:I$11)+IF(AND(OR('Company Information'!$C$12="District of Columbia",'Company Information'!$C$12="Massachusetts",'Company Information'!$C$12="Vermont"),SUM($H$6:$K$11,$H$15:$K$16,$H$38:$I$38)&lt;&gt;0),SUM(D$6:D$7) - SUM(D$8:D$11),0)</f>
        <v>594723</v>
      </c>
      <c r="J12" s="406">
        <f>SUM(J$6:J$7)-SUM(J$10:J$11)+IF(AND(OR('Company Information'!$C$12="District of Columbia",'Company Information'!$C$12="Massachusetts",'Company Information'!$C$12="Vermont"),SUM($H$6:$K$11,$H$15:$K$16,$H$38:$I$38)&lt;&gt;0),SUM(E$6:E$7)-SUM(E$8:E$11),0)</f>
        <v>-11719</v>
      </c>
      <c r="K12" s="406">
        <f>IFERROR(SUM(H$12:J$12)+H$17*MAX(0,J$50-H$50)+I$17*MAX(0,J$50-I$50),0)</f>
        <v>1431432</v>
      </c>
      <c r="L12" s="453"/>
      <c r="M12" s="405">
        <f>SUM(M$6:M$7)</f>
        <v>8877376</v>
      </c>
      <c r="N12" s="406">
        <f>SUM(N$6:N$7)</f>
        <v>57179852</v>
      </c>
      <c r="O12" s="406">
        <f>SUM(O$6:O$7)</f>
        <v>40551682</v>
      </c>
      <c r="P12" s="406">
        <f>SUM(M$12:O$12)+M$17*MAX(0,O$50-M$50)+N$17*MAX(0,O$50-N$50)</f>
        <v>106608910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22889</v>
      </c>
      <c r="D15" s="409">
        <v>0</v>
      </c>
      <c r="E15" s="401">
        <f>SUM('Pt 1 Summary of Data'!E$5:E$7)+SUM('Pt 1 Summary of Data'!G$5:G$7)-SUM('Pt 1 Summary of Data'!H$5:H$7)-SUM(E$9:E$11)</f>
        <v>0</v>
      </c>
      <c r="F15" s="401">
        <f>SUM(C15:E15)</f>
        <v>22889</v>
      </c>
      <c r="G15" s="402">
        <f>SUM('Pt 1 Summary of Data'!I$5:I$7)-SUM(G$9:G$10)</f>
        <v>0</v>
      </c>
      <c r="H15" s="408">
        <v>891913</v>
      </c>
      <c r="I15" s="409">
        <v>1195344</v>
      </c>
      <c r="J15" s="401">
        <f>SUM('Pt 1 Summary of Data'!K$5:K$7)+SUM('Pt 1 Summary of Data'!M$5:M$7)-SUM('Pt 1 Summary of Data'!N$5:N$7)-SUM(J$10:J$11)</f>
        <v>0</v>
      </c>
      <c r="K15" s="401">
        <f>SUM(H15:J15)</f>
        <v>2087257</v>
      </c>
      <c r="L15" s="402">
        <f>SUM('Pt 1 Summary of Data'!O$5:O$7)-L$10</f>
        <v>0</v>
      </c>
      <c r="M15" s="408">
        <v>10615585</v>
      </c>
      <c r="N15" s="409">
        <v>75037656</v>
      </c>
      <c r="O15" s="401">
        <f>SUM('Pt 1 Summary of Data'!Q$5:Q$7)+SUM('Pt 1 Summary of Data'!S$5:S$7)-SUM('Pt 1 Summary of Data'!T$5:T$7)+N$56</f>
        <v>52073978</v>
      </c>
      <c r="P15" s="401">
        <f>SUM(M15:O15)</f>
        <v>137727219</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5795</v>
      </c>
      <c r="D16" s="404">
        <v>1240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7035</v>
      </c>
      <c r="G16" s="407">
        <f>SUM('Pt 1 Summary of Data'!I$25:I$28,'Pt 1 Summary of Data'!I$30,'Pt 1 Summary of Data'!I$34:I$35)+IF('Company Information'!$C$15="No",IF(MAX('Pt 1 Summary of Data'!I$31:I$32)=0,MIN('Pt 1 Summary of Data'!I$31:I$32),MAX('Pt 1 Summary of Data'!I$31:I$32)),SUM('Pt 1 Summary of Data'!I$31:I$32))</f>
        <v>0</v>
      </c>
      <c r="H16" s="403">
        <v>19577</v>
      </c>
      <c r="I16" s="404">
        <v>194537</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27554</v>
      </c>
      <c r="K16" s="406">
        <f>SUM(H16:J16)</f>
        <v>241668</v>
      </c>
      <c r="L16" s="407">
        <f>SUM('Pt 1 Summary of Data'!O$25:O$28,'Pt 1 Summary of Data'!O$30,'Pt 1 Summary of Data'!O$34:O$35)+IF('Company Information'!$C$15="No",IF(MAX('Pt 1 Summary of Data'!O$31:O$32)=0,MIN('Pt 1 Summary of Data'!O$31:O$32),MAX('Pt 1 Summary of Data'!O$31:O$32)),SUM('Pt 1 Summary of Data'!O$31:O$32))</f>
        <v>0</v>
      </c>
      <c r="M16" s="403">
        <v>546304</v>
      </c>
      <c r="N16" s="404">
        <v>7839170</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4543783</v>
      </c>
      <c r="P16" s="406">
        <f>SUM(M16:O16)</f>
        <v>12929257</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17094</v>
      </c>
      <c r="D17" s="406">
        <f>D$15-D$16+IF(AND(OR('Company Information'!$C$12="District of Columbia",'Company Information'!$C$12="Massachusetts",'Company Information'!$C$12="Vermont"),SUM($C$6:$F$11,$C$15:$F$16,$C$38:$D$38)&lt;&gt;0),I$15-I$16,0)</f>
        <v>-1240</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15854</v>
      </c>
      <c r="G17" s="456"/>
      <c r="H17" s="405">
        <f>H$15-H$16+IF(AND(OR('Company Information'!$C$12="District of Columbia",'Company Information'!$C$12="Massachusetts",'Company Information'!$C$12="Vermont"),SUM($H$6:$K$11,$H$15:$K$16,$H$38:$I$38)&lt;&gt;0),C$15-C$16,0)</f>
        <v>872336</v>
      </c>
      <c r="I17" s="406">
        <f>I$15-I$16+IF(AND(OR('Company Information'!$C$12="District of Columbia",'Company Information'!$C$12="Massachusetts",'Company Information'!$C$12="Vermont"),SUM($H$6:$K$11,$H$15:$K$16,$H$38:$I$38)&lt;&gt;0),D$15-D$16,0)</f>
        <v>1000807</v>
      </c>
      <c r="J17" s="406">
        <f>J$15-J$16+IF(AND(OR('Company Information'!$C$12="District of Columbia",'Company Information'!$C$12="Massachusetts",'Company Information'!$C$12="Vermont"),SUM($H$6:$K$11,$H$15:$K$16,$H$38:$I$38)&lt;&gt;0),E$15-E$16,0)</f>
        <v>-27554</v>
      </c>
      <c r="K17" s="406">
        <f>K$15-K$16+IF(AND(OR('Company Information'!$C$12="District of Columbia",'Company Information'!$C$12="Massachusetts",'Company Information'!$C$12="Vermont"),SUM($H$6:$K$11,$H$15:$K$16,$H$38:$I$38)&lt;&gt;0),F$15-F$16,0)</f>
        <v>1845589</v>
      </c>
      <c r="L17" s="456"/>
      <c r="M17" s="405">
        <f>M$15-M$16</f>
        <v>10069281</v>
      </c>
      <c r="N17" s="406">
        <f>N$15-N$16</f>
        <v>67198486</v>
      </c>
      <c r="O17" s="406">
        <f>O$15-O$16</f>
        <v>47530195</v>
      </c>
      <c r="P17" s="406">
        <f>P$15-P$16</f>
        <v>124797962</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ROUND(SUM(G$6:G$7)-SUM(G$8:G$10)+IF(AND(OR('Company Information'!$C$12="District of Columbia",'Company Information'!$C$12="Massachusetts",'Company Information'!$C$12="Vermont"),SUM($G$6:$G$10,$G$15:$G$16)&lt;&gt;0),SUM(L$6:L$7)-L$10+L$58,0)+G$58,4)</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ROUND(G$15+IF(AND(OR('Company Information'!$C$12="District of Columbia",'Company Information'!$C$12="Massachusetts",'Company Information'!$C$12="Vermont"),SUM($G$6:$G$10,$G$15:$G$16)&lt;&gt;0),L$15,0)-G$25,4)</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ROUND(G$15+IF(AND(OR('Company Information'!$C$12="District of Columbia",'Company Information'!$C$12="Massachusetts",'Company Information'!$C$12="Vermont"),SUM($G$6:$G$10,$G$15:$G$16)&lt;&gt;0),L$15,0)-G$29,4)</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1</v>
      </c>
      <c r="G38" s="454"/>
      <c r="H38" s="410">
        <v>139.91669999999999</v>
      </c>
      <c r="I38" s="411">
        <v>171.08330000000001</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311</v>
      </c>
      <c r="L38" s="454"/>
      <c r="M38" s="410">
        <v>1948.4167</v>
      </c>
      <c r="N38" s="411">
        <v>11819</v>
      </c>
      <c r="O38" s="438">
        <f>('Pt 1 Summary of Data'!Q$59+'Pt 1 Summary of Data'!S$59-'Pt 1 Summary of Data'!T$59)/12</f>
        <v>8637.9166666666661</v>
      </c>
      <c r="P38" s="438">
        <f>SUM(M$38:O$38)</f>
        <v>22405.333366666666</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1.7729777755555558E-2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1.7729777755555558E-2</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0.88162958209230624</v>
      </c>
      <c r="N45" s="442">
        <f>IF(OR(N$38&lt;1000,N$17&lt;=0),"",N$12/N$17)</f>
        <v>0.85090982555767702</v>
      </c>
      <c r="O45" s="442">
        <f>IF(OR(O$38&lt;1000,O$17&lt;=0),"",O$12/O$17)</f>
        <v>0.85317726973348207</v>
      </c>
      <c r="P45" s="442">
        <f>IF(OR(P$38&lt;1000,P$17&lt;=0),"",P$12/P$17)</f>
        <v>0.85425201094229408</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1.7729777755555558E-2</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0.872</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0.872</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47530195</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7012</v>
      </c>
      <c r="I56" s="447"/>
      <c r="J56" s="447"/>
      <c r="K56" s="447"/>
      <c r="L56" s="453"/>
      <c r="M56" s="403">
        <v>110557</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2567</v>
      </c>
      <c r="I57" s="447"/>
      <c r="J57" s="447"/>
      <c r="K57" s="447"/>
      <c r="L57" s="453"/>
      <c r="M57" s="403">
        <v>40475</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4094</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2016-07-29T14:11:55Z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